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Смета по ТСН-2001" sheetId="5" r:id="rId1"/>
    <sheet name="Акт КС-2 по ТСН-2001" sheetId="6" r:id="rId2"/>
    <sheet name="Макет форма-3" sheetId="7" r:id="rId3"/>
    <sheet name="Source" sheetId="1" r:id="rId4"/>
    <sheet name="SourceObSm" sheetId="2" r:id="rId5"/>
    <sheet name="SmtRes" sheetId="3" r:id="rId6"/>
    <sheet name="EtalonRes" sheetId="4" r:id="rId7"/>
  </sheets>
  <definedNames>
    <definedName name="_xlnm.Print_Titles" localSheetId="1">'Акт КС-2 по ТСН-2001'!$40:$40</definedName>
    <definedName name="_xlnm.Print_Titles" localSheetId="0">'Смета по ТСН-2001'!$31:$31</definedName>
    <definedName name="_xlnm.Print_Area" localSheetId="1">'Акт КС-2 по ТСН-2001'!$A$1:$L$273</definedName>
    <definedName name="_xlnm.Print_Area" localSheetId="0">'Смета по ТСН-2001'!$A$1:$K$265</definedName>
  </definedNames>
  <calcPr calcId="145621"/>
</workbook>
</file>

<file path=xl/calcChain.xml><?xml version="1.0" encoding="utf-8"?>
<calcChain xmlns="http://schemas.openxmlformats.org/spreadsheetml/2006/main">
  <c r="B241" i="5" l="1"/>
  <c r="A11" i="5"/>
  <c r="A1" i="7" l="1"/>
  <c r="I270" i="6"/>
  <c r="I267" i="6"/>
  <c r="D270" i="6"/>
  <c r="D267" i="6"/>
  <c r="K264" i="6"/>
  <c r="D264" i="6"/>
  <c r="K263" i="6"/>
  <c r="D263" i="6"/>
  <c r="K262" i="6"/>
  <c r="D262" i="6"/>
  <c r="I261" i="6"/>
  <c r="K261" i="6"/>
  <c r="I260" i="6"/>
  <c r="K260" i="6"/>
  <c r="I257" i="6"/>
  <c r="K257" i="6"/>
  <c r="I256" i="6"/>
  <c r="K256" i="6"/>
  <c r="AL255" i="6"/>
  <c r="A255" i="6"/>
  <c r="I253" i="6"/>
  <c r="K253" i="6"/>
  <c r="I252" i="6"/>
  <c r="K252" i="6"/>
  <c r="A251" i="6"/>
  <c r="Z249" i="6"/>
  <c r="Y249" i="6"/>
  <c r="X249" i="6"/>
  <c r="P249" i="6"/>
  <c r="L248" i="6"/>
  <c r="K249" i="6" s="1"/>
  <c r="K248" i="6"/>
  <c r="J248" i="6"/>
  <c r="I249" i="6" s="1"/>
  <c r="I248" i="6"/>
  <c r="H248" i="6"/>
  <c r="G248" i="6"/>
  <c r="V248" i="6"/>
  <c r="T248" i="6"/>
  <c r="R248" i="6"/>
  <c r="U248" i="6"/>
  <c r="S248" i="6"/>
  <c r="Q248" i="6"/>
  <c r="F248" i="6"/>
  <c r="E248" i="6"/>
  <c r="C248" i="6"/>
  <c r="B248" i="6"/>
  <c r="AA247" i="6"/>
  <c r="Z247" i="6"/>
  <c r="X247" i="6"/>
  <c r="P247" i="6"/>
  <c r="L246" i="6"/>
  <c r="K247" i="6" s="1"/>
  <c r="K246" i="6"/>
  <c r="J246" i="6"/>
  <c r="I247" i="6" s="1"/>
  <c r="I246" i="6"/>
  <c r="H246" i="6"/>
  <c r="G246" i="6"/>
  <c r="V246" i="6"/>
  <c r="T246" i="6"/>
  <c r="R246" i="6"/>
  <c r="U246" i="6"/>
  <c r="S246" i="6"/>
  <c r="Q246" i="6"/>
  <c r="F246" i="6"/>
  <c r="E246" i="6"/>
  <c r="C246" i="6"/>
  <c r="B246" i="6"/>
  <c r="AA245" i="6"/>
  <c r="Z245" i="6"/>
  <c r="Y245" i="6"/>
  <c r="X245" i="6"/>
  <c r="O245" i="6"/>
  <c r="P245" i="6"/>
  <c r="D244" i="6"/>
  <c r="L243" i="6"/>
  <c r="K245" i="6" s="1"/>
  <c r="K243" i="6"/>
  <c r="J243" i="6"/>
  <c r="I245" i="6" s="1"/>
  <c r="I243" i="6"/>
  <c r="H243" i="6"/>
  <c r="G243" i="6"/>
  <c r="V243" i="6"/>
  <c r="T243" i="6"/>
  <c r="R243" i="6"/>
  <c r="U243" i="6"/>
  <c r="S243" i="6"/>
  <c r="Q243" i="6"/>
  <c r="F243" i="6"/>
  <c r="E243" i="6"/>
  <c r="C243" i="6"/>
  <c r="B243" i="6"/>
  <c r="AA242" i="6"/>
  <c r="Z242" i="6"/>
  <c r="X242" i="6"/>
  <c r="I242" i="6"/>
  <c r="K242" i="6"/>
  <c r="L241" i="6"/>
  <c r="P242" i="6" s="1"/>
  <c r="K241" i="6"/>
  <c r="J241" i="6"/>
  <c r="Y242" i="6" s="1"/>
  <c r="I241" i="6"/>
  <c r="H241" i="6"/>
  <c r="G241" i="6"/>
  <c r="V241" i="6"/>
  <c r="T241" i="6"/>
  <c r="R241" i="6"/>
  <c r="U241" i="6"/>
  <c r="S241" i="6"/>
  <c r="Q241" i="6"/>
  <c r="F241" i="6"/>
  <c r="E241" i="6"/>
  <c r="C241" i="6"/>
  <c r="B241" i="6"/>
  <c r="AA240" i="6"/>
  <c r="Z240" i="6"/>
  <c r="X240" i="6"/>
  <c r="I240" i="6"/>
  <c r="K240" i="6"/>
  <c r="L239" i="6"/>
  <c r="P240" i="6" s="1"/>
  <c r="K239" i="6"/>
  <c r="J239" i="6"/>
  <c r="Y240" i="6" s="1"/>
  <c r="I239" i="6"/>
  <c r="H239" i="6"/>
  <c r="G239" i="6"/>
  <c r="V239" i="6"/>
  <c r="T239" i="6"/>
  <c r="R239" i="6"/>
  <c r="U239" i="6"/>
  <c r="S239" i="6"/>
  <c r="Q239" i="6"/>
  <c r="F239" i="6"/>
  <c r="E239" i="6"/>
  <c r="C239" i="6"/>
  <c r="B239" i="6"/>
  <c r="AA238" i="6"/>
  <c r="Z238" i="6"/>
  <c r="X238" i="6"/>
  <c r="D237" i="6"/>
  <c r="L236" i="6"/>
  <c r="P238" i="6" s="1"/>
  <c r="K251" i="6" s="1"/>
  <c r="K236" i="6"/>
  <c r="J236" i="6"/>
  <c r="I236" i="6"/>
  <c r="H236" i="6"/>
  <c r="G236" i="6"/>
  <c r="V236" i="6"/>
  <c r="T236" i="6"/>
  <c r="R236" i="6"/>
  <c r="U236" i="6"/>
  <c r="S236" i="6"/>
  <c r="Q236" i="6"/>
  <c r="F236" i="6"/>
  <c r="E236" i="6"/>
  <c r="C236" i="6"/>
  <c r="B236" i="6"/>
  <c r="A235" i="6"/>
  <c r="I233" i="6"/>
  <c r="K233" i="6"/>
  <c r="I232" i="6"/>
  <c r="K232" i="6"/>
  <c r="A231" i="6"/>
  <c r="Z229" i="6"/>
  <c r="Y229" i="6"/>
  <c r="X229" i="6"/>
  <c r="J228" i="6"/>
  <c r="I228" i="6"/>
  <c r="H228" i="6"/>
  <c r="F228" i="6"/>
  <c r="K227" i="6"/>
  <c r="J227" i="6"/>
  <c r="F227" i="6"/>
  <c r="L226" i="6"/>
  <c r="K226" i="6"/>
  <c r="F226" i="6"/>
  <c r="L225" i="6"/>
  <c r="K225" i="6"/>
  <c r="W225" i="6"/>
  <c r="J225" i="6"/>
  <c r="I225" i="6"/>
  <c r="H225" i="6"/>
  <c r="G225" i="6"/>
  <c r="V224" i="6"/>
  <c r="T224" i="6"/>
  <c r="L227" i="6" s="1"/>
  <c r="P229" i="6" s="1"/>
  <c r="R224" i="6"/>
  <c r="U224" i="6"/>
  <c r="S224" i="6"/>
  <c r="Q224" i="6"/>
  <c r="J226" i="6" s="1"/>
  <c r="F224" i="6"/>
  <c r="E224" i="6"/>
  <c r="C224" i="6"/>
  <c r="B224" i="6"/>
  <c r="Z223" i="6"/>
  <c r="Y223" i="6"/>
  <c r="X223" i="6"/>
  <c r="J222" i="6"/>
  <c r="I222" i="6"/>
  <c r="H222" i="6"/>
  <c r="F222" i="6"/>
  <c r="K221" i="6"/>
  <c r="F221" i="6"/>
  <c r="K220" i="6"/>
  <c r="F220" i="6"/>
  <c r="L219" i="6"/>
  <c r="K219" i="6"/>
  <c r="J219" i="6"/>
  <c r="I219" i="6"/>
  <c r="H219" i="6"/>
  <c r="G219" i="6"/>
  <c r="V218" i="6"/>
  <c r="T218" i="6"/>
  <c r="L221" i="6" s="1"/>
  <c r="K223" i="6" s="1"/>
  <c r="R218" i="6"/>
  <c r="L220" i="6" s="1"/>
  <c r="U218" i="6"/>
  <c r="S218" i="6"/>
  <c r="J221" i="6" s="1"/>
  <c r="Q218" i="6"/>
  <c r="J220" i="6" s="1"/>
  <c r="F218" i="6"/>
  <c r="E218" i="6"/>
  <c r="C218" i="6"/>
  <c r="B218" i="6"/>
  <c r="Z217" i="6"/>
  <c r="Y217" i="6"/>
  <c r="X217" i="6"/>
  <c r="J216" i="6"/>
  <c r="I216" i="6"/>
  <c r="H216" i="6"/>
  <c r="F216" i="6"/>
  <c r="K215" i="6"/>
  <c r="J215" i="6"/>
  <c r="F215" i="6"/>
  <c r="L214" i="6"/>
  <c r="K214" i="6"/>
  <c r="F214" i="6"/>
  <c r="L213" i="6"/>
  <c r="K213" i="6"/>
  <c r="W213" i="6"/>
  <c r="J213" i="6"/>
  <c r="I213" i="6"/>
  <c r="H213" i="6"/>
  <c r="G213" i="6"/>
  <c r="V212" i="6"/>
  <c r="T212" i="6"/>
  <c r="L215" i="6" s="1"/>
  <c r="P217" i="6" s="1"/>
  <c r="R212" i="6"/>
  <c r="U212" i="6"/>
  <c r="S212" i="6"/>
  <c r="Q212" i="6"/>
  <c r="J214" i="6" s="1"/>
  <c r="F212" i="6"/>
  <c r="E212" i="6"/>
  <c r="C212" i="6"/>
  <c r="B212" i="6"/>
  <c r="Z211" i="6"/>
  <c r="Y211" i="6"/>
  <c r="X211" i="6"/>
  <c r="J210" i="6"/>
  <c r="I210" i="6"/>
  <c r="H210" i="6"/>
  <c r="F210" i="6"/>
  <c r="K209" i="6"/>
  <c r="F209" i="6"/>
  <c r="K208" i="6"/>
  <c r="F208" i="6"/>
  <c r="L207" i="6"/>
  <c r="K207" i="6"/>
  <c r="J207" i="6"/>
  <c r="I207" i="6"/>
  <c r="H207" i="6"/>
  <c r="G207" i="6"/>
  <c r="V206" i="6"/>
  <c r="T206" i="6"/>
  <c r="L209" i="6" s="1"/>
  <c r="K211" i="6" s="1"/>
  <c r="R206" i="6"/>
  <c r="L208" i="6" s="1"/>
  <c r="U206" i="6"/>
  <c r="S206" i="6"/>
  <c r="J209" i="6" s="1"/>
  <c r="Q206" i="6"/>
  <c r="J208" i="6" s="1"/>
  <c r="F206" i="6"/>
  <c r="E206" i="6"/>
  <c r="C206" i="6"/>
  <c r="B206" i="6"/>
  <c r="Z205" i="6"/>
  <c r="Y205" i="6"/>
  <c r="X205" i="6"/>
  <c r="J204" i="6"/>
  <c r="I204" i="6"/>
  <c r="H204" i="6"/>
  <c r="F204" i="6"/>
  <c r="K203" i="6"/>
  <c r="J203" i="6"/>
  <c r="F203" i="6"/>
  <c r="L202" i="6"/>
  <c r="K202" i="6"/>
  <c r="F202" i="6"/>
  <c r="L201" i="6"/>
  <c r="K201" i="6"/>
  <c r="W201" i="6"/>
  <c r="J201" i="6"/>
  <c r="I201" i="6"/>
  <c r="H201" i="6"/>
  <c r="G201" i="6"/>
  <c r="V200" i="6"/>
  <c r="T200" i="6"/>
  <c r="L203" i="6" s="1"/>
  <c r="P205" i="6" s="1"/>
  <c r="R200" i="6"/>
  <c r="U200" i="6"/>
  <c r="S200" i="6"/>
  <c r="Q200" i="6"/>
  <c r="J202" i="6" s="1"/>
  <c r="F200" i="6"/>
  <c r="E200" i="6"/>
  <c r="C200" i="6"/>
  <c r="B200" i="6"/>
  <c r="Z199" i="6"/>
  <c r="Y199" i="6"/>
  <c r="X199" i="6"/>
  <c r="J198" i="6"/>
  <c r="I198" i="6"/>
  <c r="H198" i="6"/>
  <c r="F198" i="6"/>
  <c r="K197" i="6"/>
  <c r="F197" i="6"/>
  <c r="K196" i="6"/>
  <c r="F196" i="6"/>
  <c r="L195" i="6"/>
  <c r="K195" i="6"/>
  <c r="J195" i="6"/>
  <c r="I195" i="6"/>
  <c r="H195" i="6"/>
  <c r="G195" i="6"/>
  <c r="V194" i="6"/>
  <c r="T194" i="6"/>
  <c r="L197" i="6" s="1"/>
  <c r="K199" i="6" s="1"/>
  <c r="R194" i="6"/>
  <c r="L196" i="6" s="1"/>
  <c r="U194" i="6"/>
  <c r="S194" i="6"/>
  <c r="J197" i="6" s="1"/>
  <c r="Q194" i="6"/>
  <c r="J196" i="6" s="1"/>
  <c r="F194" i="6"/>
  <c r="E194" i="6"/>
  <c r="C194" i="6"/>
  <c r="B194" i="6"/>
  <c r="Z193" i="6"/>
  <c r="Y193" i="6"/>
  <c r="X193" i="6"/>
  <c r="J192" i="6"/>
  <c r="I192" i="6"/>
  <c r="H192" i="6"/>
  <c r="F192" i="6"/>
  <c r="K191" i="6"/>
  <c r="J191" i="6"/>
  <c r="F191" i="6"/>
  <c r="L190" i="6"/>
  <c r="K190" i="6"/>
  <c r="F190" i="6"/>
  <c r="L189" i="6"/>
  <c r="K189" i="6"/>
  <c r="W189" i="6"/>
  <c r="J189" i="6"/>
  <c r="I189" i="6"/>
  <c r="H189" i="6"/>
  <c r="G189" i="6"/>
  <c r="V188" i="6"/>
  <c r="T188" i="6"/>
  <c r="L191" i="6" s="1"/>
  <c r="P193" i="6" s="1"/>
  <c r="R188" i="6"/>
  <c r="U188" i="6"/>
  <c r="S188" i="6"/>
  <c r="Q188" i="6"/>
  <c r="J190" i="6" s="1"/>
  <c r="F188" i="6"/>
  <c r="E188" i="6"/>
  <c r="C188" i="6"/>
  <c r="B188" i="6"/>
  <c r="Z187" i="6"/>
  <c r="Y187" i="6"/>
  <c r="X187" i="6"/>
  <c r="J186" i="6"/>
  <c r="I186" i="6"/>
  <c r="H186" i="6"/>
  <c r="F186" i="6"/>
  <c r="K185" i="6"/>
  <c r="F185" i="6"/>
  <c r="K184" i="6"/>
  <c r="F184" i="6"/>
  <c r="L183" i="6"/>
  <c r="K183" i="6"/>
  <c r="J183" i="6"/>
  <c r="I183" i="6"/>
  <c r="H183" i="6"/>
  <c r="G183" i="6"/>
  <c r="V182" i="6"/>
  <c r="T182" i="6"/>
  <c r="L185" i="6" s="1"/>
  <c r="K187" i="6" s="1"/>
  <c r="R182" i="6"/>
  <c r="L184" i="6" s="1"/>
  <c r="U182" i="6"/>
  <c r="S182" i="6"/>
  <c r="J185" i="6" s="1"/>
  <c r="Q182" i="6"/>
  <c r="J184" i="6" s="1"/>
  <c r="F182" i="6"/>
  <c r="E182" i="6"/>
  <c r="C182" i="6"/>
  <c r="B182" i="6"/>
  <c r="Z181" i="6"/>
  <c r="Y181" i="6"/>
  <c r="X181" i="6"/>
  <c r="J180" i="6"/>
  <c r="I180" i="6"/>
  <c r="H180" i="6"/>
  <c r="F180" i="6"/>
  <c r="K179" i="6"/>
  <c r="J179" i="6"/>
  <c r="F179" i="6"/>
  <c r="L178" i="6"/>
  <c r="K178" i="6"/>
  <c r="F178" i="6"/>
  <c r="L177" i="6"/>
  <c r="K177" i="6"/>
  <c r="W177" i="6"/>
  <c r="J177" i="6"/>
  <c r="I177" i="6"/>
  <c r="H177" i="6"/>
  <c r="G177" i="6"/>
  <c r="V176" i="6"/>
  <c r="T176" i="6"/>
  <c r="L179" i="6" s="1"/>
  <c r="P181" i="6" s="1"/>
  <c r="R176" i="6"/>
  <c r="U176" i="6"/>
  <c r="S176" i="6"/>
  <c r="Q176" i="6"/>
  <c r="J178" i="6" s="1"/>
  <c r="F176" i="6"/>
  <c r="E176" i="6"/>
  <c r="C176" i="6"/>
  <c r="B176" i="6"/>
  <c r="Z175" i="6"/>
  <c r="Y175" i="6"/>
  <c r="X175" i="6"/>
  <c r="J174" i="6"/>
  <c r="I174" i="6"/>
  <c r="H174" i="6"/>
  <c r="F174" i="6"/>
  <c r="K173" i="6"/>
  <c r="F173" i="6"/>
  <c r="K172" i="6"/>
  <c r="F172" i="6"/>
  <c r="L171" i="6"/>
  <c r="K171" i="6"/>
  <c r="J171" i="6"/>
  <c r="I171" i="6"/>
  <c r="H171" i="6"/>
  <c r="G171" i="6"/>
  <c r="V170" i="6"/>
  <c r="T170" i="6"/>
  <c r="L173" i="6" s="1"/>
  <c r="K175" i="6" s="1"/>
  <c r="R170" i="6"/>
  <c r="L172" i="6" s="1"/>
  <c r="U170" i="6"/>
  <c r="S170" i="6"/>
  <c r="J173" i="6" s="1"/>
  <c r="Q170" i="6"/>
  <c r="J172" i="6" s="1"/>
  <c r="F170" i="6"/>
  <c r="E170" i="6"/>
  <c r="C170" i="6"/>
  <c r="B170" i="6"/>
  <c r="A169" i="6"/>
  <c r="I167" i="6"/>
  <c r="K167" i="6"/>
  <c r="I166" i="6"/>
  <c r="K166" i="6"/>
  <c r="A165" i="6"/>
  <c r="AA163" i="6"/>
  <c r="Z163" i="6"/>
  <c r="X163" i="6"/>
  <c r="J162" i="6"/>
  <c r="I162" i="6"/>
  <c r="H162" i="6"/>
  <c r="F162" i="6"/>
  <c r="L161" i="6"/>
  <c r="K161" i="6"/>
  <c r="J161" i="6"/>
  <c r="F161" i="6"/>
  <c r="L160" i="6"/>
  <c r="K160" i="6"/>
  <c r="J160" i="6"/>
  <c r="F160" i="6"/>
  <c r="L159" i="6"/>
  <c r="K159" i="6"/>
  <c r="J159" i="6"/>
  <c r="F159" i="6"/>
  <c r="L158" i="6"/>
  <c r="P163" i="6" s="1"/>
  <c r="K158" i="6"/>
  <c r="J158" i="6"/>
  <c r="Y163" i="6" s="1"/>
  <c r="I158" i="6"/>
  <c r="H158" i="6"/>
  <c r="G158" i="6"/>
  <c r="L157" i="6"/>
  <c r="K157" i="6"/>
  <c r="W157" i="6"/>
  <c r="J157" i="6"/>
  <c r="I157" i="6"/>
  <c r="H157" i="6"/>
  <c r="G157" i="6"/>
  <c r="L156" i="6"/>
  <c r="K156" i="6"/>
  <c r="J156" i="6"/>
  <c r="I156" i="6"/>
  <c r="H156" i="6"/>
  <c r="G156" i="6"/>
  <c r="L155" i="6"/>
  <c r="K155" i="6"/>
  <c r="J155" i="6"/>
  <c r="I155" i="6"/>
  <c r="H155" i="6"/>
  <c r="G155" i="6"/>
  <c r="V154" i="6"/>
  <c r="T154" i="6"/>
  <c r="R154" i="6"/>
  <c r="U154" i="6"/>
  <c r="S154" i="6"/>
  <c r="Q154" i="6"/>
  <c r="F154" i="6"/>
  <c r="E154" i="6"/>
  <c r="C154" i="6"/>
  <c r="B154" i="6"/>
  <c r="AA153" i="6"/>
  <c r="Z153" i="6"/>
  <c r="X153" i="6"/>
  <c r="J152" i="6"/>
  <c r="I152" i="6"/>
  <c r="H152" i="6"/>
  <c r="F152" i="6"/>
  <c r="K151" i="6"/>
  <c r="J151" i="6"/>
  <c r="F151" i="6"/>
  <c r="L150" i="6"/>
  <c r="K150" i="6"/>
  <c r="F150" i="6"/>
  <c r="K149" i="6"/>
  <c r="J149" i="6"/>
  <c r="F149" i="6"/>
  <c r="L148" i="6"/>
  <c r="K148" i="6"/>
  <c r="J148" i="6"/>
  <c r="I148" i="6"/>
  <c r="H148" i="6"/>
  <c r="G148" i="6"/>
  <c r="L147" i="6"/>
  <c r="K147" i="6"/>
  <c r="W147" i="6"/>
  <c r="J147" i="6"/>
  <c r="I147" i="6"/>
  <c r="H147" i="6"/>
  <c r="G147" i="6"/>
  <c r="L146" i="6"/>
  <c r="K146" i="6"/>
  <c r="J146" i="6"/>
  <c r="I146" i="6"/>
  <c r="H146" i="6"/>
  <c r="G146" i="6"/>
  <c r="L145" i="6"/>
  <c r="K145" i="6"/>
  <c r="J145" i="6"/>
  <c r="I145" i="6"/>
  <c r="H145" i="6"/>
  <c r="G145" i="6"/>
  <c r="V144" i="6"/>
  <c r="L151" i="6" s="1"/>
  <c r="T144" i="6"/>
  <c r="R144" i="6"/>
  <c r="L149" i="6" s="1"/>
  <c r="P153" i="6" s="1"/>
  <c r="U144" i="6"/>
  <c r="S144" i="6"/>
  <c r="J150" i="6" s="1"/>
  <c r="Q144" i="6"/>
  <c r="F144" i="6"/>
  <c r="E144" i="6"/>
  <c r="C144" i="6"/>
  <c r="B144" i="6"/>
  <c r="AA143" i="6"/>
  <c r="Z143" i="6"/>
  <c r="X143" i="6"/>
  <c r="J142" i="6"/>
  <c r="I142" i="6"/>
  <c r="H142" i="6"/>
  <c r="F142" i="6"/>
  <c r="L141" i="6"/>
  <c r="K141" i="6"/>
  <c r="F141" i="6"/>
  <c r="K140" i="6"/>
  <c r="J140" i="6"/>
  <c r="F140" i="6"/>
  <c r="L139" i="6"/>
  <c r="K139" i="6"/>
  <c r="J139" i="6"/>
  <c r="I139" i="6"/>
  <c r="H139" i="6"/>
  <c r="G139" i="6"/>
  <c r="L138" i="6"/>
  <c r="K138" i="6"/>
  <c r="W138" i="6"/>
  <c r="J138" i="6"/>
  <c r="I138" i="6"/>
  <c r="H138" i="6"/>
  <c r="G138" i="6"/>
  <c r="D137" i="6"/>
  <c r="V136" i="6"/>
  <c r="T136" i="6"/>
  <c r="R136" i="6"/>
  <c r="L140" i="6" s="1"/>
  <c r="U136" i="6"/>
  <c r="S136" i="6"/>
  <c r="J141" i="6" s="1"/>
  <c r="Q136" i="6"/>
  <c r="F136" i="6"/>
  <c r="E136" i="6"/>
  <c r="C136" i="6"/>
  <c r="B136" i="6"/>
  <c r="AA135" i="6"/>
  <c r="Z135" i="6"/>
  <c r="X135" i="6"/>
  <c r="J134" i="6"/>
  <c r="I134" i="6"/>
  <c r="H134" i="6"/>
  <c r="F134" i="6"/>
  <c r="L133" i="6"/>
  <c r="K133" i="6"/>
  <c r="J133" i="6"/>
  <c r="F133" i="6"/>
  <c r="L132" i="6"/>
  <c r="K132" i="6"/>
  <c r="J132" i="6"/>
  <c r="F132" i="6"/>
  <c r="L131" i="6"/>
  <c r="K131" i="6"/>
  <c r="J131" i="6"/>
  <c r="F131" i="6"/>
  <c r="L130" i="6"/>
  <c r="P135" i="6" s="1"/>
  <c r="K130" i="6"/>
  <c r="J130" i="6"/>
  <c r="Y135" i="6" s="1"/>
  <c r="I130" i="6"/>
  <c r="H130" i="6"/>
  <c r="G130" i="6"/>
  <c r="L129" i="6"/>
  <c r="K129" i="6"/>
  <c r="W129" i="6"/>
  <c r="J129" i="6"/>
  <c r="I129" i="6"/>
  <c r="H129" i="6"/>
  <c r="G129" i="6"/>
  <c r="L128" i="6"/>
  <c r="K128" i="6"/>
  <c r="J128" i="6"/>
  <c r="I128" i="6"/>
  <c r="H128" i="6"/>
  <c r="G128" i="6"/>
  <c r="L127" i="6"/>
  <c r="K127" i="6"/>
  <c r="J127" i="6"/>
  <c r="I127" i="6"/>
  <c r="H127" i="6"/>
  <c r="G127" i="6"/>
  <c r="D126" i="6"/>
  <c r="V125" i="6"/>
  <c r="T125" i="6"/>
  <c r="R125" i="6"/>
  <c r="U125" i="6"/>
  <c r="S125" i="6"/>
  <c r="Q125" i="6"/>
  <c r="F125" i="6"/>
  <c r="E125" i="6"/>
  <c r="C125" i="6"/>
  <c r="B125" i="6"/>
  <c r="AA124" i="6"/>
  <c r="Z124" i="6"/>
  <c r="X124" i="6"/>
  <c r="J123" i="6"/>
  <c r="I123" i="6"/>
  <c r="H123" i="6"/>
  <c r="F123" i="6"/>
  <c r="K122" i="6"/>
  <c r="F122" i="6"/>
  <c r="K121" i="6"/>
  <c r="J121" i="6"/>
  <c r="F121" i="6"/>
  <c r="L120" i="6"/>
  <c r="K120" i="6"/>
  <c r="F120" i="6"/>
  <c r="L119" i="6"/>
  <c r="K119" i="6"/>
  <c r="W119" i="6"/>
  <c r="J119" i="6"/>
  <c r="I119" i="6"/>
  <c r="H119" i="6"/>
  <c r="G119" i="6"/>
  <c r="L118" i="6"/>
  <c r="K118" i="6"/>
  <c r="J118" i="6"/>
  <c r="I118" i="6"/>
  <c r="H118" i="6"/>
  <c r="G118" i="6"/>
  <c r="L117" i="6"/>
  <c r="K117" i="6"/>
  <c r="J117" i="6"/>
  <c r="I117" i="6"/>
  <c r="H117" i="6"/>
  <c r="G117" i="6"/>
  <c r="D116" i="6"/>
  <c r="V115" i="6"/>
  <c r="L122" i="6" s="1"/>
  <c r="T115" i="6"/>
  <c r="L121" i="6" s="1"/>
  <c r="R115" i="6"/>
  <c r="U115" i="6"/>
  <c r="J122" i="6" s="1"/>
  <c r="S115" i="6"/>
  <c r="Q115" i="6"/>
  <c r="J120" i="6" s="1"/>
  <c r="F115" i="6"/>
  <c r="E115" i="6"/>
  <c r="C115" i="6"/>
  <c r="B115" i="6"/>
  <c r="AA114" i="6"/>
  <c r="Z114" i="6"/>
  <c r="X114" i="6"/>
  <c r="J113" i="6"/>
  <c r="I113" i="6"/>
  <c r="H113" i="6"/>
  <c r="F113" i="6"/>
  <c r="K112" i="6"/>
  <c r="F112" i="6"/>
  <c r="K111" i="6"/>
  <c r="F111" i="6"/>
  <c r="K110" i="6"/>
  <c r="F110" i="6"/>
  <c r="L109" i="6"/>
  <c r="K109" i="6"/>
  <c r="J109" i="6"/>
  <c r="I109" i="6"/>
  <c r="H109" i="6"/>
  <c r="G109" i="6"/>
  <c r="L108" i="6"/>
  <c r="K108" i="6"/>
  <c r="J108" i="6"/>
  <c r="W108" i="6" s="1"/>
  <c r="I108" i="6"/>
  <c r="H108" i="6"/>
  <c r="G108" i="6"/>
  <c r="L107" i="6"/>
  <c r="K107" i="6"/>
  <c r="J107" i="6"/>
  <c r="I107" i="6"/>
  <c r="H107" i="6"/>
  <c r="G107" i="6"/>
  <c r="L106" i="6"/>
  <c r="K106" i="6"/>
  <c r="W106" i="6"/>
  <c r="J106" i="6"/>
  <c r="I106" i="6"/>
  <c r="H106" i="6"/>
  <c r="G106" i="6"/>
  <c r="D105" i="6"/>
  <c r="V104" i="6"/>
  <c r="L112" i="6" s="1"/>
  <c r="T104" i="6"/>
  <c r="L111" i="6" s="1"/>
  <c r="R104" i="6"/>
  <c r="L110" i="6" s="1"/>
  <c r="U104" i="6"/>
  <c r="J112" i="6" s="1"/>
  <c r="S104" i="6"/>
  <c r="J111" i="6" s="1"/>
  <c r="Q104" i="6"/>
  <c r="J110" i="6" s="1"/>
  <c r="F104" i="6"/>
  <c r="E104" i="6"/>
  <c r="C104" i="6"/>
  <c r="B104" i="6"/>
  <c r="AA103" i="6"/>
  <c r="Z103" i="6"/>
  <c r="X103" i="6"/>
  <c r="J102" i="6"/>
  <c r="I102" i="6"/>
  <c r="H102" i="6"/>
  <c r="F102" i="6"/>
  <c r="L101" i="6"/>
  <c r="K101" i="6"/>
  <c r="F101" i="6"/>
  <c r="K100" i="6"/>
  <c r="J100" i="6"/>
  <c r="F100" i="6"/>
  <c r="L99" i="6"/>
  <c r="K99" i="6"/>
  <c r="F99" i="6"/>
  <c r="L98" i="6"/>
  <c r="K98" i="6"/>
  <c r="W98" i="6"/>
  <c r="J98" i="6"/>
  <c r="I98" i="6"/>
  <c r="H98" i="6"/>
  <c r="G98" i="6"/>
  <c r="L97" i="6"/>
  <c r="K97" i="6"/>
  <c r="J97" i="6"/>
  <c r="I97" i="6"/>
  <c r="H97" i="6"/>
  <c r="G97" i="6"/>
  <c r="L96" i="6"/>
  <c r="K96" i="6"/>
  <c r="J96" i="6"/>
  <c r="I96" i="6"/>
  <c r="H96" i="6"/>
  <c r="G96" i="6"/>
  <c r="D95" i="6"/>
  <c r="V94" i="6"/>
  <c r="T94" i="6"/>
  <c r="L100" i="6" s="1"/>
  <c r="R94" i="6"/>
  <c r="U94" i="6"/>
  <c r="J101" i="6" s="1"/>
  <c r="S94" i="6"/>
  <c r="Q94" i="6"/>
  <c r="J99" i="6" s="1"/>
  <c r="F94" i="6"/>
  <c r="E94" i="6"/>
  <c r="C94" i="6"/>
  <c r="B94" i="6"/>
  <c r="AA93" i="6"/>
  <c r="Z93" i="6"/>
  <c r="X93" i="6"/>
  <c r="J92" i="6"/>
  <c r="I92" i="6"/>
  <c r="H92" i="6"/>
  <c r="F92" i="6"/>
  <c r="K91" i="6"/>
  <c r="F91" i="6"/>
  <c r="K90" i="6"/>
  <c r="F90" i="6"/>
  <c r="K89" i="6"/>
  <c r="F89" i="6"/>
  <c r="L88" i="6"/>
  <c r="K88" i="6"/>
  <c r="J88" i="6"/>
  <c r="I88" i="6"/>
  <c r="H88" i="6"/>
  <c r="G88" i="6"/>
  <c r="L87" i="6"/>
  <c r="K87" i="6"/>
  <c r="J87" i="6"/>
  <c r="W87" i="6" s="1"/>
  <c r="I87" i="6"/>
  <c r="H87" i="6"/>
  <c r="G87" i="6"/>
  <c r="L86" i="6"/>
  <c r="K86" i="6"/>
  <c r="J86" i="6"/>
  <c r="I86" i="6"/>
  <c r="H86" i="6"/>
  <c r="G86" i="6"/>
  <c r="L85" i="6"/>
  <c r="K85" i="6"/>
  <c r="W85" i="6"/>
  <c r="J85" i="6"/>
  <c r="I85" i="6"/>
  <c r="H85" i="6"/>
  <c r="G85" i="6"/>
  <c r="D84" i="6"/>
  <c r="V83" i="6"/>
  <c r="L91" i="6" s="1"/>
  <c r="T83" i="6"/>
  <c r="L90" i="6" s="1"/>
  <c r="R83" i="6"/>
  <c r="L89" i="6" s="1"/>
  <c r="U83" i="6"/>
  <c r="J91" i="6" s="1"/>
  <c r="S83" i="6"/>
  <c r="J90" i="6" s="1"/>
  <c r="Q83" i="6"/>
  <c r="J89" i="6" s="1"/>
  <c r="F83" i="6"/>
  <c r="E83" i="6"/>
  <c r="C83" i="6"/>
  <c r="B83" i="6"/>
  <c r="AA82" i="6"/>
  <c r="Z82" i="6"/>
  <c r="X82" i="6"/>
  <c r="J81" i="6"/>
  <c r="I81" i="6"/>
  <c r="H81" i="6"/>
  <c r="F81" i="6"/>
  <c r="L80" i="6"/>
  <c r="K80" i="6"/>
  <c r="F80" i="6"/>
  <c r="K79" i="6"/>
  <c r="J79" i="6"/>
  <c r="F79" i="6"/>
  <c r="L78" i="6"/>
  <c r="K78" i="6"/>
  <c r="F78" i="6"/>
  <c r="L77" i="6"/>
  <c r="P82" i="6" s="1"/>
  <c r="K77" i="6"/>
  <c r="J77" i="6"/>
  <c r="I77" i="6"/>
  <c r="H77" i="6"/>
  <c r="G77" i="6"/>
  <c r="L76" i="6"/>
  <c r="K76" i="6"/>
  <c r="W76" i="6"/>
  <c r="J76" i="6"/>
  <c r="I76" i="6"/>
  <c r="H76" i="6"/>
  <c r="G76" i="6"/>
  <c r="L75" i="6"/>
  <c r="K75" i="6"/>
  <c r="J75" i="6"/>
  <c r="I75" i="6"/>
  <c r="H75" i="6"/>
  <c r="G75" i="6"/>
  <c r="L74" i="6"/>
  <c r="K74" i="6"/>
  <c r="J74" i="6"/>
  <c r="I74" i="6"/>
  <c r="H74" i="6"/>
  <c r="G74" i="6"/>
  <c r="D73" i="6"/>
  <c r="V72" i="6"/>
  <c r="T72" i="6"/>
  <c r="L79" i="6" s="1"/>
  <c r="R72" i="6"/>
  <c r="U72" i="6"/>
  <c r="J80" i="6" s="1"/>
  <c r="S72" i="6"/>
  <c r="Q72" i="6"/>
  <c r="J78" i="6" s="1"/>
  <c r="F72" i="6"/>
  <c r="E72" i="6"/>
  <c r="C72" i="6"/>
  <c r="B72" i="6"/>
  <c r="AA71" i="6"/>
  <c r="Z71" i="6"/>
  <c r="X71" i="6"/>
  <c r="J70" i="6"/>
  <c r="I70" i="6"/>
  <c r="H70" i="6"/>
  <c r="F70" i="6"/>
  <c r="K69" i="6"/>
  <c r="F69" i="6"/>
  <c r="K68" i="6"/>
  <c r="F68" i="6"/>
  <c r="K67" i="6"/>
  <c r="F67" i="6"/>
  <c r="L66" i="6"/>
  <c r="K66" i="6"/>
  <c r="J66" i="6"/>
  <c r="W66" i="6" s="1"/>
  <c r="I66" i="6"/>
  <c r="H66" i="6"/>
  <c r="G66" i="6"/>
  <c r="L65" i="6"/>
  <c r="K65" i="6"/>
  <c r="J65" i="6"/>
  <c r="I65" i="6"/>
  <c r="H65" i="6"/>
  <c r="G65" i="6"/>
  <c r="L64" i="6"/>
  <c r="K64" i="6"/>
  <c r="W64" i="6"/>
  <c r="J64" i="6"/>
  <c r="I64" i="6"/>
  <c r="H64" i="6"/>
  <c r="G64" i="6"/>
  <c r="V63" i="6"/>
  <c r="L69" i="6" s="1"/>
  <c r="T63" i="6"/>
  <c r="L68" i="6" s="1"/>
  <c r="R63" i="6"/>
  <c r="L67" i="6" s="1"/>
  <c r="U63" i="6"/>
  <c r="J69" i="6" s="1"/>
  <c r="S63" i="6"/>
  <c r="J68" i="6" s="1"/>
  <c r="Q63" i="6"/>
  <c r="J67" i="6" s="1"/>
  <c r="F63" i="6"/>
  <c r="E63" i="6"/>
  <c r="C63" i="6"/>
  <c r="B63" i="6"/>
  <c r="AA62" i="6"/>
  <c r="Z62" i="6"/>
  <c r="X62" i="6"/>
  <c r="J61" i="6"/>
  <c r="I61" i="6"/>
  <c r="H61" i="6"/>
  <c r="F61" i="6"/>
  <c r="K60" i="6"/>
  <c r="F60" i="6"/>
  <c r="K59" i="6"/>
  <c r="F59" i="6"/>
  <c r="K58" i="6"/>
  <c r="F58" i="6"/>
  <c r="L57" i="6"/>
  <c r="K57" i="6"/>
  <c r="J57" i="6"/>
  <c r="I57" i="6"/>
  <c r="H57" i="6"/>
  <c r="G57" i="6"/>
  <c r="L56" i="6"/>
  <c r="K56" i="6"/>
  <c r="J56" i="6"/>
  <c r="W56" i="6" s="1"/>
  <c r="I56" i="6"/>
  <c r="H56" i="6"/>
  <c r="G56" i="6"/>
  <c r="L55" i="6"/>
  <c r="K55" i="6"/>
  <c r="J55" i="6"/>
  <c r="I55" i="6"/>
  <c r="H55" i="6"/>
  <c r="G55" i="6"/>
  <c r="L54" i="6"/>
  <c r="K54" i="6"/>
  <c r="W54" i="6"/>
  <c r="J54" i="6"/>
  <c r="I54" i="6"/>
  <c r="H54" i="6"/>
  <c r="G54" i="6"/>
  <c r="V53" i="6"/>
  <c r="L60" i="6" s="1"/>
  <c r="T53" i="6"/>
  <c r="L59" i="6" s="1"/>
  <c r="R53" i="6"/>
  <c r="L58" i="6" s="1"/>
  <c r="U53" i="6"/>
  <c r="J60" i="6" s="1"/>
  <c r="S53" i="6"/>
  <c r="J59" i="6" s="1"/>
  <c r="Q53" i="6"/>
  <c r="J58" i="6" s="1"/>
  <c r="F53" i="6"/>
  <c r="E53" i="6"/>
  <c r="C53" i="6"/>
  <c r="B53" i="6"/>
  <c r="AA52" i="6"/>
  <c r="Z52" i="6"/>
  <c r="X52" i="6"/>
  <c r="J51" i="6"/>
  <c r="I51" i="6"/>
  <c r="H51" i="6"/>
  <c r="F51" i="6"/>
  <c r="K50" i="6"/>
  <c r="F50" i="6"/>
  <c r="K49" i="6"/>
  <c r="F49" i="6"/>
  <c r="K48" i="6"/>
  <c r="F48" i="6"/>
  <c r="L47" i="6"/>
  <c r="K47" i="6"/>
  <c r="J47" i="6"/>
  <c r="I47" i="6"/>
  <c r="H47" i="6"/>
  <c r="G47" i="6"/>
  <c r="L46" i="6"/>
  <c r="K46" i="6"/>
  <c r="J46" i="6"/>
  <c r="W46" i="6" s="1"/>
  <c r="I46" i="6"/>
  <c r="H46" i="6"/>
  <c r="G46" i="6"/>
  <c r="L45" i="6"/>
  <c r="K45" i="6"/>
  <c r="J45" i="6"/>
  <c r="I45" i="6"/>
  <c r="H45" i="6"/>
  <c r="G45" i="6"/>
  <c r="L44" i="6"/>
  <c r="K44" i="6"/>
  <c r="W44" i="6"/>
  <c r="J44" i="6"/>
  <c r="I44" i="6"/>
  <c r="H44" i="6"/>
  <c r="G44" i="6"/>
  <c r="V43" i="6"/>
  <c r="L50" i="6" s="1"/>
  <c r="T43" i="6"/>
  <c r="L49" i="6" s="1"/>
  <c r="R43" i="6"/>
  <c r="L48" i="6" s="1"/>
  <c r="U43" i="6"/>
  <c r="J50" i="6" s="1"/>
  <c r="S43" i="6"/>
  <c r="J49" i="6" s="1"/>
  <c r="Q43" i="6"/>
  <c r="J48" i="6" s="1"/>
  <c r="F43" i="6"/>
  <c r="E43" i="6"/>
  <c r="C43" i="6"/>
  <c r="B43" i="6"/>
  <c r="A42" i="6"/>
  <c r="H32" i="6"/>
  <c r="J27" i="6"/>
  <c r="I27" i="6"/>
  <c r="H27" i="6"/>
  <c r="J22" i="6"/>
  <c r="J21" i="6"/>
  <c r="J20" i="6"/>
  <c r="J19" i="6"/>
  <c r="J16" i="6"/>
  <c r="C17" i="6"/>
  <c r="J14" i="6"/>
  <c r="J12" i="6"/>
  <c r="C13" i="6"/>
  <c r="J10" i="6"/>
  <c r="AJ11" i="6"/>
  <c r="C11" i="6"/>
  <c r="J8" i="6"/>
  <c r="C9" i="6"/>
  <c r="A1" i="6"/>
  <c r="H263" i="5"/>
  <c r="H260" i="5"/>
  <c r="C263" i="5"/>
  <c r="C260" i="5"/>
  <c r="J257" i="5"/>
  <c r="C257" i="5"/>
  <c r="J256" i="5"/>
  <c r="C256" i="5"/>
  <c r="J255" i="5"/>
  <c r="C255" i="5"/>
  <c r="J28" i="5"/>
  <c r="J26" i="5"/>
  <c r="J25" i="5"/>
  <c r="J24" i="5"/>
  <c r="J23" i="5"/>
  <c r="J22" i="5"/>
  <c r="J21" i="5"/>
  <c r="I28" i="5"/>
  <c r="H254" i="5"/>
  <c r="J254" i="5"/>
  <c r="H253" i="5"/>
  <c r="J253" i="5"/>
  <c r="H250" i="5"/>
  <c r="J250" i="5"/>
  <c r="H249" i="5"/>
  <c r="J249" i="5"/>
  <c r="AL248" i="5"/>
  <c r="A248" i="5"/>
  <c r="H246" i="5"/>
  <c r="J246" i="5"/>
  <c r="H245" i="5"/>
  <c r="J245" i="5"/>
  <c r="AL244" i="5"/>
  <c r="A244" i="5"/>
  <c r="Z242" i="5"/>
  <c r="Y242" i="5"/>
  <c r="X242" i="5"/>
  <c r="J242" i="5"/>
  <c r="K241" i="5"/>
  <c r="P242" i="5" s="1"/>
  <c r="J241" i="5"/>
  <c r="I241" i="5"/>
  <c r="AA242" i="5" s="1"/>
  <c r="H241" i="5"/>
  <c r="G241" i="5"/>
  <c r="F241" i="5"/>
  <c r="V241" i="5"/>
  <c r="T241" i="5"/>
  <c r="R241" i="5"/>
  <c r="U241" i="5"/>
  <c r="S241" i="5"/>
  <c r="Q241" i="5"/>
  <c r="E241" i="5"/>
  <c r="D241" i="5"/>
  <c r="A241" i="5"/>
  <c r="AA240" i="5"/>
  <c r="Z240" i="5"/>
  <c r="X240" i="5"/>
  <c r="K239" i="5"/>
  <c r="P240" i="5" s="1"/>
  <c r="J239" i="5"/>
  <c r="I239" i="5"/>
  <c r="Y240" i="5" s="1"/>
  <c r="H239" i="5"/>
  <c r="G239" i="5"/>
  <c r="F239" i="5"/>
  <c r="V239" i="5"/>
  <c r="T239" i="5"/>
  <c r="R239" i="5"/>
  <c r="U239" i="5"/>
  <c r="S239" i="5"/>
  <c r="Q239" i="5"/>
  <c r="E239" i="5"/>
  <c r="D239" i="5"/>
  <c r="B239" i="5"/>
  <c r="A239" i="5"/>
  <c r="AA238" i="5"/>
  <c r="Z238" i="5"/>
  <c r="X238" i="5"/>
  <c r="C237" i="5"/>
  <c r="K236" i="5"/>
  <c r="P238" i="5" s="1"/>
  <c r="J236" i="5"/>
  <c r="I236" i="5"/>
  <c r="H238" i="5" s="1"/>
  <c r="H236" i="5"/>
  <c r="G236" i="5"/>
  <c r="F236" i="5"/>
  <c r="V236" i="5"/>
  <c r="T236" i="5"/>
  <c r="R236" i="5"/>
  <c r="U236" i="5"/>
  <c r="S236" i="5"/>
  <c r="Q236" i="5"/>
  <c r="E236" i="5"/>
  <c r="D236" i="5"/>
  <c r="B236" i="5"/>
  <c r="A236" i="5"/>
  <c r="AA235" i="5"/>
  <c r="Z235" i="5"/>
  <c r="X235" i="5"/>
  <c r="P235" i="5"/>
  <c r="K234" i="5"/>
  <c r="J235" i="5" s="1"/>
  <c r="J234" i="5"/>
  <c r="I234" i="5"/>
  <c r="H235" i="5" s="1"/>
  <c r="H234" i="5"/>
  <c r="G234" i="5"/>
  <c r="F234" i="5"/>
  <c r="V234" i="5"/>
  <c r="T234" i="5"/>
  <c r="R234" i="5"/>
  <c r="U234" i="5"/>
  <c r="S234" i="5"/>
  <c r="Q234" i="5"/>
  <c r="E234" i="5"/>
  <c r="D234" i="5"/>
  <c r="B234" i="5"/>
  <c r="A234" i="5"/>
  <c r="AA233" i="5"/>
  <c r="Z233" i="5"/>
  <c r="X233" i="5"/>
  <c r="P233" i="5"/>
  <c r="K232" i="5"/>
  <c r="J233" i="5" s="1"/>
  <c r="J232" i="5"/>
  <c r="I232" i="5"/>
  <c r="H233" i="5" s="1"/>
  <c r="H232" i="5"/>
  <c r="G232" i="5"/>
  <c r="F232" i="5"/>
  <c r="V232" i="5"/>
  <c r="T232" i="5"/>
  <c r="R232" i="5"/>
  <c r="U232" i="5"/>
  <c r="S232" i="5"/>
  <c r="Q232" i="5"/>
  <c r="E232" i="5"/>
  <c r="D232" i="5"/>
  <c r="B232" i="5"/>
  <c r="A232" i="5"/>
  <c r="AA231" i="5"/>
  <c r="Z231" i="5"/>
  <c r="X231" i="5"/>
  <c r="C230" i="5"/>
  <c r="K229" i="5"/>
  <c r="J231" i="5" s="1"/>
  <c r="J229" i="5"/>
  <c r="I229" i="5"/>
  <c r="H231" i="5" s="1"/>
  <c r="H229" i="5"/>
  <c r="G229" i="5"/>
  <c r="F229" i="5"/>
  <c r="V229" i="5"/>
  <c r="T229" i="5"/>
  <c r="R229" i="5"/>
  <c r="U229" i="5"/>
  <c r="S229" i="5"/>
  <c r="Q229" i="5"/>
  <c r="E229" i="5"/>
  <c r="D229" i="5"/>
  <c r="B229" i="5"/>
  <c r="A229" i="5"/>
  <c r="A228" i="5"/>
  <c r="H226" i="5"/>
  <c r="J226" i="5"/>
  <c r="H225" i="5"/>
  <c r="J225" i="5"/>
  <c r="A224" i="5"/>
  <c r="Z222" i="5"/>
  <c r="Y222" i="5"/>
  <c r="X222" i="5"/>
  <c r="I221" i="5"/>
  <c r="H221" i="5"/>
  <c r="G221" i="5"/>
  <c r="E221" i="5"/>
  <c r="J220" i="5"/>
  <c r="E220" i="5"/>
  <c r="J219" i="5"/>
  <c r="E219" i="5"/>
  <c r="K218" i="5"/>
  <c r="J218" i="5"/>
  <c r="I218" i="5"/>
  <c r="H218" i="5"/>
  <c r="G218" i="5"/>
  <c r="F218" i="5"/>
  <c r="V217" i="5"/>
  <c r="T217" i="5"/>
  <c r="K220" i="5" s="1"/>
  <c r="R217" i="5"/>
  <c r="K219" i="5" s="1"/>
  <c r="U217" i="5"/>
  <c r="S217" i="5"/>
  <c r="I220" i="5" s="1"/>
  <c r="Q217" i="5"/>
  <c r="I219" i="5" s="1"/>
  <c r="E217" i="5"/>
  <c r="D217" i="5"/>
  <c r="B217" i="5"/>
  <c r="A217" i="5"/>
  <c r="Z216" i="5"/>
  <c r="Y216" i="5"/>
  <c r="X216" i="5"/>
  <c r="I215" i="5"/>
  <c r="H215" i="5"/>
  <c r="G215" i="5"/>
  <c r="E215" i="5"/>
  <c r="J214" i="5"/>
  <c r="E214" i="5"/>
  <c r="J213" i="5"/>
  <c r="E213" i="5"/>
  <c r="K212" i="5"/>
  <c r="J212" i="5"/>
  <c r="W212" i="5"/>
  <c r="I212" i="5"/>
  <c r="H212" i="5"/>
  <c r="G212" i="5"/>
  <c r="F212" i="5"/>
  <c r="V211" i="5"/>
  <c r="T211" i="5"/>
  <c r="K214" i="5" s="1"/>
  <c r="R211" i="5"/>
  <c r="K213" i="5" s="1"/>
  <c r="U211" i="5"/>
  <c r="S211" i="5"/>
  <c r="I214" i="5" s="1"/>
  <c r="Q211" i="5"/>
  <c r="I213" i="5" s="1"/>
  <c r="E211" i="5"/>
  <c r="D211" i="5"/>
  <c r="B211" i="5"/>
  <c r="A211" i="5"/>
  <c r="Z210" i="5"/>
  <c r="Y210" i="5"/>
  <c r="X210" i="5"/>
  <c r="I209" i="5"/>
  <c r="H209" i="5"/>
  <c r="G209" i="5"/>
  <c r="E209" i="5"/>
  <c r="J208" i="5"/>
  <c r="E208" i="5"/>
  <c r="J207" i="5"/>
  <c r="E207" i="5"/>
  <c r="K206" i="5"/>
  <c r="J206" i="5"/>
  <c r="I206" i="5"/>
  <c r="H206" i="5"/>
  <c r="G206" i="5"/>
  <c r="F206" i="5"/>
  <c r="V205" i="5"/>
  <c r="T205" i="5"/>
  <c r="K208" i="5" s="1"/>
  <c r="R205" i="5"/>
  <c r="K207" i="5" s="1"/>
  <c r="J210" i="5" s="1"/>
  <c r="U205" i="5"/>
  <c r="S205" i="5"/>
  <c r="I208" i="5" s="1"/>
  <c r="Q205" i="5"/>
  <c r="I207" i="5" s="1"/>
  <c r="E205" i="5"/>
  <c r="D205" i="5"/>
  <c r="B205" i="5"/>
  <c r="A205" i="5"/>
  <c r="Z204" i="5"/>
  <c r="Y204" i="5"/>
  <c r="X204" i="5"/>
  <c r="I203" i="5"/>
  <c r="H203" i="5"/>
  <c r="G203" i="5"/>
  <c r="E203" i="5"/>
  <c r="J202" i="5"/>
  <c r="E202" i="5"/>
  <c r="J201" i="5"/>
  <c r="E201" i="5"/>
  <c r="K200" i="5"/>
  <c r="J200" i="5"/>
  <c r="I200" i="5"/>
  <c r="W200" i="5" s="1"/>
  <c r="H200" i="5"/>
  <c r="G200" i="5"/>
  <c r="F200" i="5"/>
  <c r="V199" i="5"/>
  <c r="T199" i="5"/>
  <c r="K202" i="5" s="1"/>
  <c r="R199" i="5"/>
  <c r="K201" i="5" s="1"/>
  <c r="U199" i="5"/>
  <c r="S199" i="5"/>
  <c r="I202" i="5" s="1"/>
  <c r="Q199" i="5"/>
  <c r="I201" i="5" s="1"/>
  <c r="E199" i="5"/>
  <c r="D199" i="5"/>
  <c r="B199" i="5"/>
  <c r="A199" i="5"/>
  <c r="Z198" i="5"/>
  <c r="Y198" i="5"/>
  <c r="X198" i="5"/>
  <c r="I197" i="5"/>
  <c r="H197" i="5"/>
  <c r="G197" i="5"/>
  <c r="E197" i="5"/>
  <c r="J196" i="5"/>
  <c r="E196" i="5"/>
  <c r="J195" i="5"/>
  <c r="E195" i="5"/>
  <c r="K194" i="5"/>
  <c r="J194" i="5"/>
  <c r="I194" i="5"/>
  <c r="H194" i="5"/>
  <c r="G194" i="5"/>
  <c r="F194" i="5"/>
  <c r="V193" i="5"/>
  <c r="T193" i="5"/>
  <c r="K196" i="5" s="1"/>
  <c r="R193" i="5"/>
  <c r="K195" i="5" s="1"/>
  <c r="U193" i="5"/>
  <c r="S193" i="5"/>
  <c r="I196" i="5" s="1"/>
  <c r="Q193" i="5"/>
  <c r="I195" i="5" s="1"/>
  <c r="E193" i="5"/>
  <c r="D193" i="5"/>
  <c r="B193" i="5"/>
  <c r="A193" i="5"/>
  <c r="Z192" i="5"/>
  <c r="Y192" i="5"/>
  <c r="X192" i="5"/>
  <c r="I191" i="5"/>
  <c r="H191" i="5"/>
  <c r="G191" i="5"/>
  <c r="E191" i="5"/>
  <c r="J190" i="5"/>
  <c r="E190" i="5"/>
  <c r="J189" i="5"/>
  <c r="E189" i="5"/>
  <c r="K188" i="5"/>
  <c r="J188" i="5"/>
  <c r="W188" i="5"/>
  <c r="I188" i="5"/>
  <c r="H188" i="5"/>
  <c r="G188" i="5"/>
  <c r="F188" i="5"/>
  <c r="V187" i="5"/>
  <c r="T187" i="5"/>
  <c r="K190" i="5" s="1"/>
  <c r="R187" i="5"/>
  <c r="K189" i="5" s="1"/>
  <c r="U187" i="5"/>
  <c r="S187" i="5"/>
  <c r="I190" i="5" s="1"/>
  <c r="Q187" i="5"/>
  <c r="I189" i="5" s="1"/>
  <c r="E187" i="5"/>
  <c r="D187" i="5"/>
  <c r="B187" i="5"/>
  <c r="A187" i="5"/>
  <c r="Z186" i="5"/>
  <c r="Y186" i="5"/>
  <c r="X186" i="5"/>
  <c r="I185" i="5"/>
  <c r="H185" i="5"/>
  <c r="G185" i="5"/>
  <c r="E185" i="5"/>
  <c r="J184" i="5"/>
  <c r="E184" i="5"/>
  <c r="J183" i="5"/>
  <c r="E183" i="5"/>
  <c r="K182" i="5"/>
  <c r="J182" i="5"/>
  <c r="I182" i="5"/>
  <c r="H182" i="5"/>
  <c r="G182" i="5"/>
  <c r="F182" i="5"/>
  <c r="V181" i="5"/>
  <c r="T181" i="5"/>
  <c r="K184" i="5" s="1"/>
  <c r="R181" i="5"/>
  <c r="K183" i="5" s="1"/>
  <c r="J186" i="5" s="1"/>
  <c r="U181" i="5"/>
  <c r="S181" i="5"/>
  <c r="I184" i="5" s="1"/>
  <c r="Q181" i="5"/>
  <c r="I183" i="5" s="1"/>
  <c r="E181" i="5"/>
  <c r="D181" i="5"/>
  <c r="B181" i="5"/>
  <c r="A181" i="5"/>
  <c r="Z180" i="5"/>
  <c r="Y180" i="5"/>
  <c r="X180" i="5"/>
  <c r="I179" i="5"/>
  <c r="H179" i="5"/>
  <c r="G179" i="5"/>
  <c r="E179" i="5"/>
  <c r="J178" i="5"/>
  <c r="E178" i="5"/>
  <c r="J177" i="5"/>
  <c r="E177" i="5"/>
  <c r="K176" i="5"/>
  <c r="J176" i="5"/>
  <c r="I176" i="5"/>
  <c r="W176" i="5" s="1"/>
  <c r="H176" i="5"/>
  <c r="G176" i="5"/>
  <c r="F176" i="5"/>
  <c r="V175" i="5"/>
  <c r="T175" i="5"/>
  <c r="K178" i="5" s="1"/>
  <c r="R175" i="5"/>
  <c r="K177" i="5" s="1"/>
  <c r="U175" i="5"/>
  <c r="S175" i="5"/>
  <c r="I178" i="5" s="1"/>
  <c r="Q175" i="5"/>
  <c r="I177" i="5" s="1"/>
  <c r="E175" i="5"/>
  <c r="D175" i="5"/>
  <c r="B175" i="5"/>
  <c r="A175" i="5"/>
  <c r="Z174" i="5"/>
  <c r="Y174" i="5"/>
  <c r="X174" i="5"/>
  <c r="I173" i="5"/>
  <c r="H173" i="5"/>
  <c r="G173" i="5"/>
  <c r="E173" i="5"/>
  <c r="J172" i="5"/>
  <c r="E172" i="5"/>
  <c r="J171" i="5"/>
  <c r="E171" i="5"/>
  <c r="K170" i="5"/>
  <c r="J170" i="5"/>
  <c r="I170" i="5"/>
  <c r="H170" i="5"/>
  <c r="G170" i="5"/>
  <c r="F170" i="5"/>
  <c r="V169" i="5"/>
  <c r="T169" i="5"/>
  <c r="K172" i="5" s="1"/>
  <c r="R169" i="5"/>
  <c r="K171" i="5" s="1"/>
  <c r="U169" i="5"/>
  <c r="S169" i="5"/>
  <c r="I172" i="5" s="1"/>
  <c r="Q169" i="5"/>
  <c r="I171" i="5" s="1"/>
  <c r="E169" i="5"/>
  <c r="D169" i="5"/>
  <c r="B169" i="5"/>
  <c r="A169" i="5"/>
  <c r="Z168" i="5"/>
  <c r="Y168" i="5"/>
  <c r="X168" i="5"/>
  <c r="I167" i="5"/>
  <c r="H167" i="5"/>
  <c r="G167" i="5"/>
  <c r="E167" i="5"/>
  <c r="J166" i="5"/>
  <c r="E166" i="5"/>
  <c r="J165" i="5"/>
  <c r="E165" i="5"/>
  <c r="K164" i="5"/>
  <c r="J164" i="5"/>
  <c r="W164" i="5"/>
  <c r="I164" i="5"/>
  <c r="H164" i="5"/>
  <c r="G164" i="5"/>
  <c r="F164" i="5"/>
  <c r="V163" i="5"/>
  <c r="T163" i="5"/>
  <c r="K166" i="5" s="1"/>
  <c r="R163" i="5"/>
  <c r="K165" i="5" s="1"/>
  <c r="U163" i="5"/>
  <c r="S163" i="5"/>
  <c r="I166" i="5" s="1"/>
  <c r="Q163" i="5"/>
  <c r="I165" i="5" s="1"/>
  <c r="E163" i="5"/>
  <c r="D163" i="5"/>
  <c r="B163" i="5"/>
  <c r="A163" i="5"/>
  <c r="A162" i="5"/>
  <c r="H160" i="5"/>
  <c r="J160" i="5"/>
  <c r="H159" i="5"/>
  <c r="J159" i="5"/>
  <c r="A158" i="5"/>
  <c r="AA156" i="5"/>
  <c r="Z156" i="5"/>
  <c r="X156" i="5"/>
  <c r="I155" i="5"/>
  <c r="H155" i="5"/>
  <c r="G155" i="5"/>
  <c r="E155" i="5"/>
  <c r="J154" i="5"/>
  <c r="E154" i="5"/>
  <c r="J153" i="5"/>
  <c r="E153" i="5"/>
  <c r="J152" i="5"/>
  <c r="E152" i="5"/>
  <c r="K151" i="5"/>
  <c r="J151" i="5"/>
  <c r="I151" i="5"/>
  <c r="H151" i="5"/>
  <c r="G151" i="5"/>
  <c r="F151" i="5"/>
  <c r="K150" i="5"/>
  <c r="J150" i="5"/>
  <c r="I150" i="5"/>
  <c r="W150" i="5" s="1"/>
  <c r="H150" i="5"/>
  <c r="G150" i="5"/>
  <c r="F150" i="5"/>
  <c r="K149" i="5"/>
  <c r="J149" i="5"/>
  <c r="I149" i="5"/>
  <c r="H149" i="5"/>
  <c r="G149" i="5"/>
  <c r="F149" i="5"/>
  <c r="K148" i="5"/>
  <c r="J148" i="5"/>
  <c r="W148" i="5"/>
  <c r="I148" i="5"/>
  <c r="H148" i="5"/>
  <c r="G148" i="5"/>
  <c r="F148" i="5"/>
  <c r="V147" i="5"/>
  <c r="K154" i="5" s="1"/>
  <c r="T147" i="5"/>
  <c r="K153" i="5" s="1"/>
  <c r="R147" i="5"/>
  <c r="K152" i="5" s="1"/>
  <c r="U147" i="5"/>
  <c r="I154" i="5" s="1"/>
  <c r="S147" i="5"/>
  <c r="I153" i="5" s="1"/>
  <c r="Q147" i="5"/>
  <c r="I152" i="5" s="1"/>
  <c r="E147" i="5"/>
  <c r="D147" i="5"/>
  <c r="B147" i="5"/>
  <c r="A147" i="5"/>
  <c r="AA146" i="5"/>
  <c r="Z146" i="5"/>
  <c r="X146" i="5"/>
  <c r="I145" i="5"/>
  <c r="H145" i="5"/>
  <c r="G145" i="5"/>
  <c r="E145" i="5"/>
  <c r="J144" i="5"/>
  <c r="E144" i="5"/>
  <c r="J143" i="5"/>
  <c r="E143" i="5"/>
  <c r="J142" i="5"/>
  <c r="E142" i="5"/>
  <c r="K141" i="5"/>
  <c r="J141" i="5"/>
  <c r="I141" i="5"/>
  <c r="H141" i="5"/>
  <c r="G141" i="5"/>
  <c r="F141" i="5"/>
  <c r="K140" i="5"/>
  <c r="J140" i="5"/>
  <c r="I140" i="5"/>
  <c r="W140" i="5" s="1"/>
  <c r="H140" i="5"/>
  <c r="G140" i="5"/>
  <c r="F140" i="5"/>
  <c r="K139" i="5"/>
  <c r="J139" i="5"/>
  <c r="I139" i="5"/>
  <c r="H139" i="5"/>
  <c r="G139" i="5"/>
  <c r="F139" i="5"/>
  <c r="K138" i="5"/>
  <c r="J138" i="5"/>
  <c r="I138" i="5"/>
  <c r="H138" i="5"/>
  <c r="G138" i="5"/>
  <c r="F138" i="5"/>
  <c r="V137" i="5"/>
  <c r="K144" i="5" s="1"/>
  <c r="T137" i="5"/>
  <c r="K143" i="5" s="1"/>
  <c r="R137" i="5"/>
  <c r="K142" i="5" s="1"/>
  <c r="U137" i="5"/>
  <c r="I144" i="5" s="1"/>
  <c r="S137" i="5"/>
  <c r="I143" i="5" s="1"/>
  <c r="Q137" i="5"/>
  <c r="I142" i="5" s="1"/>
  <c r="E137" i="5"/>
  <c r="D137" i="5"/>
  <c r="B137" i="5"/>
  <c r="A137" i="5"/>
  <c r="AA136" i="5"/>
  <c r="Z136" i="5"/>
  <c r="X136" i="5"/>
  <c r="I135" i="5"/>
  <c r="H135" i="5"/>
  <c r="G135" i="5"/>
  <c r="E135" i="5"/>
  <c r="J134" i="5"/>
  <c r="E134" i="5"/>
  <c r="J133" i="5"/>
  <c r="E133" i="5"/>
  <c r="K132" i="5"/>
  <c r="J132" i="5"/>
  <c r="I132" i="5"/>
  <c r="H132" i="5"/>
  <c r="G132" i="5"/>
  <c r="F132" i="5"/>
  <c r="K131" i="5"/>
  <c r="J131" i="5"/>
  <c r="I131" i="5"/>
  <c r="W131" i="5" s="1"/>
  <c r="H131" i="5"/>
  <c r="G131" i="5"/>
  <c r="F131" i="5"/>
  <c r="C130" i="5"/>
  <c r="V129" i="5"/>
  <c r="T129" i="5"/>
  <c r="K134" i="5" s="1"/>
  <c r="R129" i="5"/>
  <c r="K133" i="5" s="1"/>
  <c r="U129" i="5"/>
  <c r="S129" i="5"/>
  <c r="I134" i="5" s="1"/>
  <c r="Q129" i="5"/>
  <c r="I133" i="5" s="1"/>
  <c r="E129" i="5"/>
  <c r="D129" i="5"/>
  <c r="B129" i="5"/>
  <c r="A129" i="5"/>
  <c r="AA128" i="5"/>
  <c r="Z128" i="5"/>
  <c r="X128" i="5"/>
  <c r="I127" i="5"/>
  <c r="H127" i="5"/>
  <c r="G127" i="5"/>
  <c r="E127" i="5"/>
  <c r="J126" i="5"/>
  <c r="E126" i="5"/>
  <c r="J125" i="5"/>
  <c r="E125" i="5"/>
  <c r="J124" i="5"/>
  <c r="E124" i="5"/>
  <c r="K123" i="5"/>
  <c r="J123" i="5"/>
  <c r="I123" i="5"/>
  <c r="H123" i="5"/>
  <c r="G123" i="5"/>
  <c r="F123" i="5"/>
  <c r="K122" i="5"/>
  <c r="J122" i="5"/>
  <c r="W122" i="5"/>
  <c r="I122" i="5"/>
  <c r="H122" i="5"/>
  <c r="G122" i="5"/>
  <c r="F122" i="5"/>
  <c r="K121" i="5"/>
  <c r="J121" i="5"/>
  <c r="I121" i="5"/>
  <c r="H121" i="5"/>
  <c r="G121" i="5"/>
  <c r="F121" i="5"/>
  <c r="K120" i="5"/>
  <c r="J120" i="5"/>
  <c r="I120" i="5"/>
  <c r="H120" i="5"/>
  <c r="G120" i="5"/>
  <c r="F120" i="5"/>
  <c r="C119" i="5"/>
  <c r="V118" i="5"/>
  <c r="K126" i="5" s="1"/>
  <c r="T118" i="5"/>
  <c r="K125" i="5" s="1"/>
  <c r="R118" i="5"/>
  <c r="K124" i="5" s="1"/>
  <c r="U118" i="5"/>
  <c r="I126" i="5" s="1"/>
  <c r="S118" i="5"/>
  <c r="I125" i="5" s="1"/>
  <c r="Q118" i="5"/>
  <c r="I124" i="5" s="1"/>
  <c r="E118" i="5"/>
  <c r="D118" i="5"/>
  <c r="B118" i="5"/>
  <c r="A118" i="5"/>
  <c r="AA117" i="5"/>
  <c r="Z117" i="5"/>
  <c r="X117" i="5"/>
  <c r="I116" i="5"/>
  <c r="H116" i="5"/>
  <c r="G116" i="5"/>
  <c r="E116" i="5"/>
  <c r="J115" i="5"/>
  <c r="E115" i="5"/>
  <c r="J114" i="5"/>
  <c r="E114" i="5"/>
  <c r="J113" i="5"/>
  <c r="E113" i="5"/>
  <c r="K112" i="5"/>
  <c r="J112" i="5"/>
  <c r="I112" i="5"/>
  <c r="W112" i="5" s="1"/>
  <c r="H112" i="5"/>
  <c r="G112" i="5"/>
  <c r="F112" i="5"/>
  <c r="K111" i="5"/>
  <c r="J111" i="5"/>
  <c r="I111" i="5"/>
  <c r="H111" i="5"/>
  <c r="G111" i="5"/>
  <c r="F111" i="5"/>
  <c r="K110" i="5"/>
  <c r="J110" i="5"/>
  <c r="I110" i="5"/>
  <c r="W110" i="5" s="1"/>
  <c r="H110" i="5"/>
  <c r="G110" i="5"/>
  <c r="F110" i="5"/>
  <c r="C109" i="5"/>
  <c r="V108" i="5"/>
  <c r="K115" i="5" s="1"/>
  <c r="T108" i="5"/>
  <c r="K114" i="5" s="1"/>
  <c r="R108" i="5"/>
  <c r="K113" i="5" s="1"/>
  <c r="U108" i="5"/>
  <c r="I115" i="5" s="1"/>
  <c r="S108" i="5"/>
  <c r="I114" i="5" s="1"/>
  <c r="Q108" i="5"/>
  <c r="I113" i="5" s="1"/>
  <c r="E108" i="5"/>
  <c r="D108" i="5"/>
  <c r="B108" i="5"/>
  <c r="A108" i="5"/>
  <c r="AA107" i="5"/>
  <c r="Z107" i="5"/>
  <c r="X107" i="5"/>
  <c r="I106" i="5"/>
  <c r="H106" i="5"/>
  <c r="G106" i="5"/>
  <c r="E106" i="5"/>
  <c r="K105" i="5"/>
  <c r="J105" i="5"/>
  <c r="E105" i="5"/>
  <c r="J104" i="5"/>
  <c r="I104" i="5"/>
  <c r="E104" i="5"/>
  <c r="K103" i="5"/>
  <c r="J103" i="5"/>
  <c r="E103" i="5"/>
  <c r="K102" i="5"/>
  <c r="J102" i="5"/>
  <c r="I102" i="5"/>
  <c r="H102" i="5"/>
  <c r="G102" i="5"/>
  <c r="F102" i="5"/>
  <c r="K101" i="5"/>
  <c r="J101" i="5"/>
  <c r="I101" i="5"/>
  <c r="W101" i="5" s="1"/>
  <c r="H101" i="5"/>
  <c r="G101" i="5"/>
  <c r="F101" i="5"/>
  <c r="K100" i="5"/>
  <c r="J100" i="5"/>
  <c r="I100" i="5"/>
  <c r="H100" i="5"/>
  <c r="G100" i="5"/>
  <c r="F100" i="5"/>
  <c r="K99" i="5"/>
  <c r="J99" i="5"/>
  <c r="I99" i="5"/>
  <c r="H99" i="5"/>
  <c r="G99" i="5"/>
  <c r="F99" i="5"/>
  <c r="C98" i="5"/>
  <c r="V97" i="5"/>
  <c r="T97" i="5"/>
  <c r="K104" i="5" s="1"/>
  <c r="R97" i="5"/>
  <c r="U97" i="5"/>
  <c r="I105" i="5" s="1"/>
  <c r="S97" i="5"/>
  <c r="Q97" i="5"/>
  <c r="I103" i="5" s="1"/>
  <c r="E97" i="5"/>
  <c r="D97" i="5"/>
  <c r="B97" i="5"/>
  <c r="A97" i="5"/>
  <c r="AA96" i="5"/>
  <c r="Z96" i="5"/>
  <c r="X96" i="5"/>
  <c r="I95" i="5"/>
  <c r="H95" i="5"/>
  <c r="G95" i="5"/>
  <c r="E95" i="5"/>
  <c r="J94" i="5"/>
  <c r="E94" i="5"/>
  <c r="J93" i="5"/>
  <c r="E93" i="5"/>
  <c r="J92" i="5"/>
  <c r="E92" i="5"/>
  <c r="K91" i="5"/>
  <c r="J91" i="5"/>
  <c r="I91" i="5"/>
  <c r="W91" i="5" s="1"/>
  <c r="H91" i="5"/>
  <c r="G91" i="5"/>
  <c r="F91" i="5"/>
  <c r="K90" i="5"/>
  <c r="J90" i="5"/>
  <c r="I90" i="5"/>
  <c r="H90" i="5"/>
  <c r="G90" i="5"/>
  <c r="F90" i="5"/>
  <c r="K89" i="5"/>
  <c r="J89" i="5"/>
  <c r="W89" i="5"/>
  <c r="I89" i="5"/>
  <c r="H89" i="5"/>
  <c r="G89" i="5"/>
  <c r="F89" i="5"/>
  <c r="C88" i="5"/>
  <c r="V87" i="5"/>
  <c r="K94" i="5" s="1"/>
  <c r="T87" i="5"/>
  <c r="K93" i="5" s="1"/>
  <c r="R87" i="5"/>
  <c r="K92" i="5" s="1"/>
  <c r="U87" i="5"/>
  <c r="I94" i="5" s="1"/>
  <c r="S87" i="5"/>
  <c r="I93" i="5" s="1"/>
  <c r="Q87" i="5"/>
  <c r="I92" i="5" s="1"/>
  <c r="E87" i="5"/>
  <c r="D87" i="5"/>
  <c r="B87" i="5"/>
  <c r="A87" i="5"/>
  <c r="AA86" i="5"/>
  <c r="Z86" i="5"/>
  <c r="X86" i="5"/>
  <c r="I85" i="5"/>
  <c r="H85" i="5"/>
  <c r="G85" i="5"/>
  <c r="E85" i="5"/>
  <c r="J84" i="5"/>
  <c r="E84" i="5"/>
  <c r="J83" i="5"/>
  <c r="E83" i="5"/>
  <c r="J82" i="5"/>
  <c r="E82" i="5"/>
  <c r="K81" i="5"/>
  <c r="J81" i="5"/>
  <c r="I81" i="5"/>
  <c r="H81" i="5"/>
  <c r="G81" i="5"/>
  <c r="F81" i="5"/>
  <c r="K80" i="5"/>
  <c r="J80" i="5"/>
  <c r="W80" i="5"/>
  <c r="I80" i="5"/>
  <c r="H80" i="5"/>
  <c r="G80" i="5"/>
  <c r="F80" i="5"/>
  <c r="K79" i="5"/>
  <c r="J79" i="5"/>
  <c r="I79" i="5"/>
  <c r="H79" i="5"/>
  <c r="G79" i="5"/>
  <c r="F79" i="5"/>
  <c r="K78" i="5"/>
  <c r="J78" i="5"/>
  <c r="I78" i="5"/>
  <c r="H78" i="5"/>
  <c r="G78" i="5"/>
  <c r="F78" i="5"/>
  <c r="C77" i="5"/>
  <c r="V76" i="5"/>
  <c r="K84" i="5" s="1"/>
  <c r="T76" i="5"/>
  <c r="K83" i="5" s="1"/>
  <c r="R76" i="5"/>
  <c r="K82" i="5" s="1"/>
  <c r="U76" i="5"/>
  <c r="I84" i="5" s="1"/>
  <c r="S76" i="5"/>
  <c r="I83" i="5" s="1"/>
  <c r="Q76" i="5"/>
  <c r="I82" i="5" s="1"/>
  <c r="E76" i="5"/>
  <c r="D76" i="5"/>
  <c r="B76" i="5"/>
  <c r="A76" i="5"/>
  <c r="AA75" i="5"/>
  <c r="Z75" i="5"/>
  <c r="X75" i="5"/>
  <c r="I74" i="5"/>
  <c r="H74" i="5"/>
  <c r="G74" i="5"/>
  <c r="E74" i="5"/>
  <c r="J73" i="5"/>
  <c r="E73" i="5"/>
  <c r="J72" i="5"/>
  <c r="E72" i="5"/>
  <c r="J71" i="5"/>
  <c r="E71" i="5"/>
  <c r="K70" i="5"/>
  <c r="J70" i="5"/>
  <c r="I70" i="5"/>
  <c r="H70" i="5"/>
  <c r="G70" i="5"/>
  <c r="F70" i="5"/>
  <c r="K69" i="5"/>
  <c r="J69" i="5"/>
  <c r="I69" i="5"/>
  <c r="W69" i="5" s="1"/>
  <c r="H69" i="5"/>
  <c r="G69" i="5"/>
  <c r="F69" i="5"/>
  <c r="K68" i="5"/>
  <c r="J68" i="5"/>
  <c r="I68" i="5"/>
  <c r="H68" i="5"/>
  <c r="G68" i="5"/>
  <c r="F68" i="5"/>
  <c r="K67" i="5"/>
  <c r="J67" i="5"/>
  <c r="I67" i="5"/>
  <c r="W67" i="5" s="1"/>
  <c r="H67" i="5"/>
  <c r="G67" i="5"/>
  <c r="F67" i="5"/>
  <c r="C66" i="5"/>
  <c r="V65" i="5"/>
  <c r="K73" i="5" s="1"/>
  <c r="T65" i="5"/>
  <c r="K72" i="5" s="1"/>
  <c r="R65" i="5"/>
  <c r="K71" i="5" s="1"/>
  <c r="U65" i="5"/>
  <c r="I73" i="5" s="1"/>
  <c r="S65" i="5"/>
  <c r="I72" i="5" s="1"/>
  <c r="Q65" i="5"/>
  <c r="I71" i="5" s="1"/>
  <c r="E65" i="5"/>
  <c r="D65" i="5"/>
  <c r="B65" i="5"/>
  <c r="A65" i="5"/>
  <c r="AA64" i="5"/>
  <c r="Z64" i="5"/>
  <c r="X64" i="5"/>
  <c r="I63" i="5"/>
  <c r="H63" i="5"/>
  <c r="G63" i="5"/>
  <c r="E63" i="5"/>
  <c r="J62" i="5"/>
  <c r="E62" i="5"/>
  <c r="J61" i="5"/>
  <c r="E61" i="5"/>
  <c r="J60" i="5"/>
  <c r="E60" i="5"/>
  <c r="K59" i="5"/>
  <c r="J59" i="5"/>
  <c r="I59" i="5"/>
  <c r="W59" i="5" s="1"/>
  <c r="H59" i="5"/>
  <c r="G59" i="5"/>
  <c r="F59" i="5"/>
  <c r="K58" i="5"/>
  <c r="J58" i="5"/>
  <c r="I58" i="5"/>
  <c r="H58" i="5"/>
  <c r="G58" i="5"/>
  <c r="F58" i="5"/>
  <c r="K57" i="5"/>
  <c r="J57" i="5"/>
  <c r="I57" i="5"/>
  <c r="H57" i="5"/>
  <c r="G57" i="5"/>
  <c r="F57" i="5"/>
  <c r="V56" i="5"/>
  <c r="K62" i="5" s="1"/>
  <c r="T56" i="5"/>
  <c r="K61" i="5" s="1"/>
  <c r="R56" i="5"/>
  <c r="K60" i="5" s="1"/>
  <c r="U56" i="5"/>
  <c r="I62" i="5" s="1"/>
  <c r="S56" i="5"/>
  <c r="I61" i="5" s="1"/>
  <c r="Q56" i="5"/>
  <c r="I60" i="5" s="1"/>
  <c r="E56" i="5"/>
  <c r="D56" i="5"/>
  <c r="B56" i="5"/>
  <c r="A56" i="5"/>
  <c r="AA55" i="5"/>
  <c r="Z55" i="5"/>
  <c r="X55" i="5"/>
  <c r="I54" i="5"/>
  <c r="H54" i="5"/>
  <c r="G54" i="5"/>
  <c r="E54" i="5"/>
  <c r="J53" i="5"/>
  <c r="E53" i="5"/>
  <c r="J52" i="5"/>
  <c r="E52" i="5"/>
  <c r="J51" i="5"/>
  <c r="E51" i="5"/>
  <c r="K50" i="5"/>
  <c r="J50" i="5"/>
  <c r="I50" i="5"/>
  <c r="H50" i="5"/>
  <c r="G50" i="5"/>
  <c r="F50" i="5"/>
  <c r="K49" i="5"/>
  <c r="J49" i="5"/>
  <c r="W49" i="5"/>
  <c r="I49" i="5"/>
  <c r="H49" i="5"/>
  <c r="G49" i="5"/>
  <c r="F49" i="5"/>
  <c r="K48" i="5"/>
  <c r="J48" i="5"/>
  <c r="I48" i="5"/>
  <c r="H48" i="5"/>
  <c r="G48" i="5"/>
  <c r="F48" i="5"/>
  <c r="K47" i="5"/>
  <c r="J47" i="5"/>
  <c r="I47" i="5"/>
  <c r="H47" i="5"/>
  <c r="G47" i="5"/>
  <c r="F47" i="5"/>
  <c r="V46" i="5"/>
  <c r="K53" i="5" s="1"/>
  <c r="T46" i="5"/>
  <c r="K52" i="5" s="1"/>
  <c r="R46" i="5"/>
  <c r="K51" i="5" s="1"/>
  <c r="U46" i="5"/>
  <c r="I53" i="5" s="1"/>
  <c r="S46" i="5"/>
  <c r="I52" i="5" s="1"/>
  <c r="Q46" i="5"/>
  <c r="I51" i="5" s="1"/>
  <c r="E46" i="5"/>
  <c r="D46" i="5"/>
  <c r="B46" i="5"/>
  <c r="A46" i="5"/>
  <c r="AA45" i="5"/>
  <c r="Z45" i="5"/>
  <c r="X45" i="5"/>
  <c r="I44" i="5"/>
  <c r="H44" i="5"/>
  <c r="G44" i="5"/>
  <c r="E44" i="5"/>
  <c r="K43" i="5"/>
  <c r="J43" i="5"/>
  <c r="E43" i="5"/>
  <c r="J42" i="5"/>
  <c r="I42" i="5"/>
  <c r="E42" i="5"/>
  <c r="K41" i="5"/>
  <c r="J41" i="5"/>
  <c r="E41" i="5"/>
  <c r="K40" i="5"/>
  <c r="J40" i="5"/>
  <c r="I40" i="5"/>
  <c r="H40" i="5"/>
  <c r="G40" i="5"/>
  <c r="F40" i="5"/>
  <c r="K39" i="5"/>
  <c r="J39" i="5"/>
  <c r="W39" i="5"/>
  <c r="I39" i="5"/>
  <c r="H39" i="5"/>
  <c r="G39" i="5"/>
  <c r="F39" i="5"/>
  <c r="K38" i="5"/>
  <c r="J38" i="5"/>
  <c r="I38" i="5"/>
  <c r="H38" i="5"/>
  <c r="G38" i="5"/>
  <c r="F38" i="5"/>
  <c r="K37" i="5"/>
  <c r="J37" i="5"/>
  <c r="I37" i="5"/>
  <c r="H37" i="5"/>
  <c r="G37" i="5"/>
  <c r="F37" i="5"/>
  <c r="V36" i="5"/>
  <c r="T36" i="5"/>
  <c r="K42" i="5" s="1"/>
  <c r="R36" i="5"/>
  <c r="U36" i="5"/>
  <c r="I43" i="5" s="1"/>
  <c r="S36" i="5"/>
  <c r="Q36" i="5"/>
  <c r="I41" i="5" s="1"/>
  <c r="E36" i="5"/>
  <c r="D36" i="5"/>
  <c r="B36" i="5"/>
  <c r="A36" i="5"/>
  <c r="A35" i="5"/>
  <c r="A33" i="5"/>
  <c r="A19" i="5"/>
  <c r="A16" i="5"/>
  <c r="G6" i="5"/>
  <c r="B6" i="5"/>
  <c r="A1" i="5"/>
  <c r="P146" i="5" l="1"/>
  <c r="J156" i="5"/>
  <c r="J174" i="5"/>
  <c r="J198" i="5"/>
  <c r="J222" i="5"/>
  <c r="O231" i="5"/>
  <c r="Y231" i="5"/>
  <c r="J240" i="5"/>
  <c r="H242" i="5"/>
  <c r="O45" i="5"/>
  <c r="P45" i="5"/>
  <c r="P55" i="5"/>
  <c r="P64" i="5"/>
  <c r="P86" i="5"/>
  <c r="P128" i="5"/>
  <c r="H156" i="5"/>
  <c r="P231" i="5"/>
  <c r="J244" i="5" s="1"/>
  <c r="H240" i="5"/>
  <c r="P52" i="6"/>
  <c r="I52" i="6"/>
  <c r="Y62" i="6"/>
  <c r="Y71" i="6"/>
  <c r="P93" i="6"/>
  <c r="I93" i="6"/>
  <c r="I103" i="6"/>
  <c r="K103" i="6"/>
  <c r="P103" i="6"/>
  <c r="Y114" i="6"/>
  <c r="Y143" i="6"/>
  <c r="AA181" i="6"/>
  <c r="O181" i="6"/>
  <c r="AA205" i="6"/>
  <c r="O205" i="6"/>
  <c r="AA229" i="6"/>
  <c r="O229" i="6"/>
  <c r="Y52" i="6"/>
  <c r="K52" i="6"/>
  <c r="P62" i="6"/>
  <c r="I62" i="6"/>
  <c r="P71" i="6"/>
  <c r="I71" i="6"/>
  <c r="I82" i="6"/>
  <c r="K82" i="6"/>
  <c r="Y93" i="6"/>
  <c r="P114" i="6"/>
  <c r="I114" i="6"/>
  <c r="K124" i="6"/>
  <c r="AA193" i="6"/>
  <c r="O193" i="6"/>
  <c r="AA217" i="6"/>
  <c r="O217" i="6"/>
  <c r="K62" i="6"/>
  <c r="K71" i="6"/>
  <c r="O82" i="6"/>
  <c r="Y82" i="6"/>
  <c r="K93" i="6"/>
  <c r="O103" i="6"/>
  <c r="Y103" i="6"/>
  <c r="K114" i="6"/>
  <c r="Y124" i="6"/>
  <c r="O124" i="6"/>
  <c r="O135" i="6"/>
  <c r="K143" i="6"/>
  <c r="O143" i="6"/>
  <c r="I153" i="6"/>
  <c r="W145" i="6"/>
  <c r="K153" i="6"/>
  <c r="O163" i="6"/>
  <c r="I181" i="6"/>
  <c r="I193" i="6"/>
  <c r="I205" i="6"/>
  <c r="I217" i="6"/>
  <c r="I229" i="6"/>
  <c r="Y238" i="6"/>
  <c r="O238" i="6"/>
  <c r="K238" i="6"/>
  <c r="O52" i="6"/>
  <c r="O62" i="6"/>
  <c r="O71" i="6"/>
  <c r="W74" i="6"/>
  <c r="O93" i="6"/>
  <c r="W96" i="6"/>
  <c r="O114" i="6"/>
  <c r="W117" i="6"/>
  <c r="P124" i="6"/>
  <c r="I124" i="6"/>
  <c r="I135" i="6"/>
  <c r="W127" i="6"/>
  <c r="K135" i="6"/>
  <c r="I143" i="6"/>
  <c r="P143" i="6"/>
  <c r="O153" i="6"/>
  <c r="Y153" i="6"/>
  <c r="I163" i="6"/>
  <c r="W155" i="6"/>
  <c r="K163" i="6"/>
  <c r="AA175" i="6"/>
  <c r="O175" i="6"/>
  <c r="W171" i="6"/>
  <c r="P175" i="6"/>
  <c r="I175" i="6"/>
  <c r="K181" i="6"/>
  <c r="AA187" i="6"/>
  <c r="O187" i="6"/>
  <c r="W183" i="6"/>
  <c r="P187" i="6"/>
  <c r="I187" i="6"/>
  <c r="K193" i="6"/>
  <c r="AA199" i="6"/>
  <c r="O199" i="6"/>
  <c r="W195" i="6"/>
  <c r="P199" i="6"/>
  <c r="I199" i="6"/>
  <c r="K205" i="6"/>
  <c r="AA211" i="6"/>
  <c r="O211" i="6"/>
  <c r="W207" i="6"/>
  <c r="P211" i="6"/>
  <c r="I211" i="6"/>
  <c r="K217" i="6"/>
  <c r="AA223" i="6"/>
  <c r="O223" i="6"/>
  <c r="W219" i="6"/>
  <c r="P223" i="6"/>
  <c r="I223" i="6"/>
  <c r="K229" i="6"/>
  <c r="I238" i="6"/>
  <c r="O247" i="6"/>
  <c r="Y247" i="6"/>
  <c r="O249" i="6"/>
  <c r="AA249" i="6"/>
  <c r="O240" i="6"/>
  <c r="O242" i="6"/>
  <c r="H64" i="5"/>
  <c r="J107" i="5"/>
  <c r="J136" i="5"/>
  <c r="AA180" i="5"/>
  <c r="O180" i="5"/>
  <c r="AA204" i="5"/>
  <c r="O204" i="5"/>
  <c r="J64" i="5"/>
  <c r="Y75" i="5"/>
  <c r="P96" i="5"/>
  <c r="H96" i="5"/>
  <c r="H107" i="5"/>
  <c r="Y117" i="5"/>
  <c r="Y136" i="5"/>
  <c r="H45" i="5"/>
  <c r="W37" i="5"/>
  <c r="Y45" i="5"/>
  <c r="J45" i="5"/>
  <c r="H55" i="5"/>
  <c r="J55" i="5"/>
  <c r="P75" i="5"/>
  <c r="H75" i="5"/>
  <c r="H86" i="5"/>
  <c r="J86" i="5"/>
  <c r="Y96" i="5"/>
  <c r="P107" i="5"/>
  <c r="P117" i="5"/>
  <c r="H117" i="5"/>
  <c r="H128" i="5"/>
  <c r="J128" i="5"/>
  <c r="H136" i="5"/>
  <c r="J146" i="5"/>
  <c r="AA168" i="5"/>
  <c r="O168" i="5"/>
  <c r="AA192" i="5"/>
  <c r="O192" i="5"/>
  <c r="AA216" i="5"/>
  <c r="O216" i="5"/>
  <c r="O55" i="5"/>
  <c r="Y55" i="5"/>
  <c r="O64" i="5"/>
  <c r="Y64" i="5"/>
  <c r="J75" i="5"/>
  <c r="O86" i="5"/>
  <c r="Y86" i="5"/>
  <c r="J96" i="5"/>
  <c r="O107" i="5"/>
  <c r="Y107" i="5"/>
  <c r="J117" i="5"/>
  <c r="O128" i="5"/>
  <c r="Y128" i="5"/>
  <c r="P136" i="5"/>
  <c r="O136" i="5"/>
  <c r="Y146" i="5"/>
  <c r="O146" i="5"/>
  <c r="Y156" i="5"/>
  <c r="J168" i="5"/>
  <c r="AA174" i="5"/>
  <c r="O174" i="5"/>
  <c r="W170" i="5"/>
  <c r="P174" i="5"/>
  <c r="H174" i="5"/>
  <c r="J180" i="5"/>
  <c r="AA186" i="5"/>
  <c r="O186" i="5"/>
  <c r="W182" i="5"/>
  <c r="P186" i="5"/>
  <c r="H186" i="5"/>
  <c r="J192" i="5"/>
  <c r="AA198" i="5"/>
  <c r="O198" i="5"/>
  <c r="W194" i="5"/>
  <c r="P198" i="5"/>
  <c r="H198" i="5"/>
  <c r="J204" i="5"/>
  <c r="AA210" i="5"/>
  <c r="O210" i="5"/>
  <c r="W206" i="5"/>
  <c r="P210" i="5"/>
  <c r="H210" i="5"/>
  <c r="J216" i="5"/>
  <c r="AA222" i="5"/>
  <c r="O222" i="5"/>
  <c r="W218" i="5"/>
  <c r="P222" i="5"/>
  <c r="H222" i="5"/>
  <c r="I22" i="5"/>
  <c r="I24" i="5"/>
  <c r="W47" i="5"/>
  <c r="W57" i="5"/>
  <c r="O75" i="5"/>
  <c r="W78" i="5"/>
  <c r="O96" i="5"/>
  <c r="W99" i="5"/>
  <c r="O117" i="5"/>
  <c r="W120" i="5"/>
  <c r="W138" i="5"/>
  <c r="H146" i="5"/>
  <c r="P156" i="5"/>
  <c r="H168" i="5"/>
  <c r="P168" i="5"/>
  <c r="H180" i="5"/>
  <c r="P180" i="5"/>
  <c r="H192" i="5"/>
  <c r="P192" i="5"/>
  <c r="H204" i="5"/>
  <c r="P204" i="5"/>
  <c r="H216" i="5"/>
  <c r="P216" i="5"/>
  <c r="O233" i="5"/>
  <c r="Y233" i="5"/>
  <c r="O235" i="5"/>
  <c r="Y235" i="5"/>
  <c r="Y238" i="5"/>
  <c r="O238" i="5"/>
  <c r="J238" i="5"/>
  <c r="O156" i="5"/>
  <c r="O240" i="5"/>
  <c r="O242" i="5"/>
  <c r="A1" i="4"/>
  <c r="A1" i="3"/>
  <c r="CX1" i="3"/>
  <c r="CY1" i="3"/>
  <c r="CZ1" i="3"/>
  <c r="DA1" i="3"/>
  <c r="DB1" i="3"/>
  <c r="DC1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P28" i="1"/>
  <c r="R28" i="1"/>
  <c r="GK28" i="1" s="1"/>
  <c r="V28" i="1"/>
  <c r="AC28" i="1"/>
  <c r="AD28" i="1"/>
  <c r="AB28" i="1" s="1"/>
  <c r="AE28" i="1"/>
  <c r="Q28" i="1" s="1"/>
  <c r="AF28" i="1"/>
  <c r="AG28" i="1"/>
  <c r="AH28" i="1"/>
  <c r="CV28" i="1" s="1"/>
  <c r="U28" i="1" s="1"/>
  <c r="AI28" i="1"/>
  <c r="AJ28" i="1"/>
  <c r="CX28" i="1" s="1"/>
  <c r="W28" i="1" s="1"/>
  <c r="CQ28" i="1"/>
  <c r="CR28" i="1"/>
  <c r="CS28" i="1"/>
  <c r="CU28" i="1"/>
  <c r="T28" i="1" s="1"/>
  <c r="CW28" i="1"/>
  <c r="FR28" i="1"/>
  <c r="GL28" i="1"/>
  <c r="GN28" i="1"/>
  <c r="GP28" i="1"/>
  <c r="GV28" i="1"/>
  <c r="GX28" i="1"/>
  <c r="HC28" i="1"/>
  <c r="S29" i="1"/>
  <c r="CZ29" i="1" s="1"/>
  <c r="Y29" i="1" s="1"/>
  <c r="W29" i="1"/>
  <c r="AC29" i="1"/>
  <c r="AE29" i="1"/>
  <c r="AF29" i="1"/>
  <c r="AG29" i="1"/>
  <c r="AH29" i="1"/>
  <c r="AI29" i="1"/>
  <c r="AJ29" i="1"/>
  <c r="CR29" i="1"/>
  <c r="CT29" i="1"/>
  <c r="CU29" i="1"/>
  <c r="T29" i="1" s="1"/>
  <c r="CV29" i="1"/>
  <c r="U29" i="1" s="1"/>
  <c r="CW29" i="1"/>
  <c r="V29" i="1" s="1"/>
  <c r="CX29" i="1"/>
  <c r="CY29" i="1"/>
  <c r="X29" i="1" s="1"/>
  <c r="FR29" i="1"/>
  <c r="GL29" i="1"/>
  <c r="GN29" i="1"/>
  <c r="GP29" i="1"/>
  <c r="GV29" i="1"/>
  <c r="GX29" i="1"/>
  <c r="HC29" i="1"/>
  <c r="S30" i="1"/>
  <c r="CY30" i="1" s="1"/>
  <c r="X30" i="1" s="1"/>
  <c r="AC30" i="1"/>
  <c r="P30" i="1" s="1"/>
  <c r="AE30" i="1"/>
  <c r="Q30" i="1" s="1"/>
  <c r="AF30" i="1"/>
  <c r="AG30" i="1"/>
  <c r="CU30" i="1" s="1"/>
  <c r="T30" i="1" s="1"/>
  <c r="AH30" i="1"/>
  <c r="AI30" i="1"/>
  <c r="CW30" i="1" s="1"/>
  <c r="V30" i="1" s="1"/>
  <c r="AJ30" i="1"/>
  <c r="CR30" i="1"/>
  <c r="CT30" i="1"/>
  <c r="CV30" i="1"/>
  <c r="U30" i="1" s="1"/>
  <c r="CX30" i="1"/>
  <c r="W30" i="1" s="1"/>
  <c r="CZ30" i="1"/>
  <c r="Y30" i="1" s="1"/>
  <c r="FR30" i="1"/>
  <c r="GL30" i="1"/>
  <c r="GN30" i="1"/>
  <c r="GP30" i="1"/>
  <c r="GV30" i="1"/>
  <c r="HC30" i="1"/>
  <c r="GX30" i="1" s="1"/>
  <c r="I31" i="1"/>
  <c r="S31" i="1"/>
  <c r="CY31" i="1" s="1"/>
  <c r="X31" i="1" s="1"/>
  <c r="AC31" i="1"/>
  <c r="P31" i="1" s="1"/>
  <c r="AE31" i="1"/>
  <c r="Q31" i="1" s="1"/>
  <c r="AF31" i="1"/>
  <c r="AG31" i="1"/>
  <c r="CU31" i="1" s="1"/>
  <c r="T31" i="1" s="1"/>
  <c r="AH31" i="1"/>
  <c r="AI31" i="1"/>
  <c r="CW31" i="1" s="1"/>
  <c r="V31" i="1" s="1"/>
  <c r="AJ31" i="1"/>
  <c r="CR31" i="1"/>
  <c r="CT31" i="1"/>
  <c r="CV31" i="1"/>
  <c r="U31" i="1" s="1"/>
  <c r="CX31" i="1"/>
  <c r="W31" i="1" s="1"/>
  <c r="CZ31" i="1"/>
  <c r="Y31" i="1" s="1"/>
  <c r="FR31" i="1"/>
  <c r="GL31" i="1"/>
  <c r="GN31" i="1"/>
  <c r="GP31" i="1"/>
  <c r="GV31" i="1"/>
  <c r="HC31" i="1"/>
  <c r="GX31" i="1" s="1"/>
  <c r="I32" i="1"/>
  <c r="S32" i="1"/>
  <c r="CY32" i="1" s="1"/>
  <c r="X32" i="1" s="1"/>
  <c r="AC32" i="1"/>
  <c r="P32" i="1" s="1"/>
  <c r="AE32" i="1"/>
  <c r="Q32" i="1" s="1"/>
  <c r="AF32" i="1"/>
  <c r="AG32" i="1"/>
  <c r="CU32" i="1" s="1"/>
  <c r="T32" i="1" s="1"/>
  <c r="AH32" i="1"/>
  <c r="AI32" i="1"/>
  <c r="CW32" i="1" s="1"/>
  <c r="V32" i="1" s="1"/>
  <c r="AJ32" i="1"/>
  <c r="CR32" i="1"/>
  <c r="CT32" i="1"/>
  <c r="CV32" i="1"/>
  <c r="U32" i="1" s="1"/>
  <c r="CX32" i="1"/>
  <c r="W32" i="1" s="1"/>
  <c r="CZ32" i="1"/>
  <c r="Y32" i="1" s="1"/>
  <c r="FR32" i="1"/>
  <c r="GL32" i="1"/>
  <c r="GN32" i="1"/>
  <c r="GP32" i="1"/>
  <c r="GV32" i="1"/>
  <c r="HC32" i="1"/>
  <c r="GX32" i="1" s="1"/>
  <c r="I33" i="1"/>
  <c r="S33" i="1"/>
  <c r="CY33" i="1" s="1"/>
  <c r="X33" i="1" s="1"/>
  <c r="AC33" i="1"/>
  <c r="P33" i="1" s="1"/>
  <c r="AE33" i="1"/>
  <c r="Q33" i="1" s="1"/>
  <c r="AF33" i="1"/>
  <c r="AG33" i="1"/>
  <c r="CU33" i="1" s="1"/>
  <c r="T33" i="1" s="1"/>
  <c r="AH33" i="1"/>
  <c r="AI33" i="1"/>
  <c r="CW33" i="1" s="1"/>
  <c r="V33" i="1" s="1"/>
  <c r="AJ33" i="1"/>
  <c r="CR33" i="1"/>
  <c r="CT33" i="1"/>
  <c r="CV33" i="1"/>
  <c r="U33" i="1" s="1"/>
  <c r="CX33" i="1"/>
  <c r="W33" i="1" s="1"/>
  <c r="CZ33" i="1"/>
  <c r="Y33" i="1" s="1"/>
  <c r="FR33" i="1"/>
  <c r="GL33" i="1"/>
  <c r="GN33" i="1"/>
  <c r="GP33" i="1"/>
  <c r="GV33" i="1"/>
  <c r="HC33" i="1"/>
  <c r="GX33" i="1" s="1"/>
  <c r="I34" i="1"/>
  <c r="S34" i="1"/>
  <c r="CY34" i="1" s="1"/>
  <c r="X34" i="1" s="1"/>
  <c r="AC34" i="1"/>
  <c r="P34" i="1" s="1"/>
  <c r="AE34" i="1"/>
  <c r="Q34" i="1" s="1"/>
  <c r="AF34" i="1"/>
  <c r="AG34" i="1"/>
  <c r="CU34" i="1" s="1"/>
  <c r="T34" i="1" s="1"/>
  <c r="AH34" i="1"/>
  <c r="AI34" i="1"/>
  <c r="CW34" i="1" s="1"/>
  <c r="V34" i="1" s="1"/>
  <c r="AJ34" i="1"/>
  <c r="CR34" i="1"/>
  <c r="CT34" i="1"/>
  <c r="CV34" i="1"/>
  <c r="U34" i="1" s="1"/>
  <c r="CX34" i="1"/>
  <c r="W34" i="1" s="1"/>
  <c r="CZ34" i="1"/>
  <c r="Y34" i="1" s="1"/>
  <c r="FR34" i="1"/>
  <c r="GL34" i="1"/>
  <c r="GN34" i="1"/>
  <c r="GP34" i="1"/>
  <c r="GV34" i="1"/>
  <c r="HC34" i="1"/>
  <c r="GX34" i="1" s="1"/>
  <c r="I35" i="1"/>
  <c r="S35" i="1"/>
  <c r="CY35" i="1" s="1"/>
  <c r="X35" i="1" s="1"/>
  <c r="AC35" i="1"/>
  <c r="P35" i="1" s="1"/>
  <c r="AE35" i="1"/>
  <c r="Q35" i="1" s="1"/>
  <c r="AF35" i="1"/>
  <c r="AG35" i="1"/>
  <c r="CU35" i="1" s="1"/>
  <c r="T35" i="1" s="1"/>
  <c r="AH35" i="1"/>
  <c r="AI35" i="1"/>
  <c r="CW35" i="1" s="1"/>
  <c r="V35" i="1" s="1"/>
  <c r="AJ35" i="1"/>
  <c r="CR35" i="1"/>
  <c r="CT35" i="1"/>
  <c r="CV35" i="1"/>
  <c r="U35" i="1" s="1"/>
  <c r="CX35" i="1"/>
  <c r="W35" i="1" s="1"/>
  <c r="CZ35" i="1"/>
  <c r="Y35" i="1" s="1"/>
  <c r="FR35" i="1"/>
  <c r="GL35" i="1"/>
  <c r="GN35" i="1"/>
  <c r="GP35" i="1"/>
  <c r="GV35" i="1"/>
  <c r="HC35" i="1"/>
  <c r="GX35" i="1" s="1"/>
  <c r="I36" i="1"/>
  <c r="S36" i="1"/>
  <c r="CY36" i="1" s="1"/>
  <c r="X36" i="1" s="1"/>
  <c r="AC36" i="1"/>
  <c r="P36" i="1" s="1"/>
  <c r="AE36" i="1"/>
  <c r="Q36" i="1" s="1"/>
  <c r="AF36" i="1"/>
  <c r="AG36" i="1"/>
  <c r="CU36" i="1" s="1"/>
  <c r="T36" i="1" s="1"/>
  <c r="AH36" i="1"/>
  <c r="AI36" i="1"/>
  <c r="CW36" i="1" s="1"/>
  <c r="V36" i="1" s="1"/>
  <c r="AJ36" i="1"/>
  <c r="CR36" i="1"/>
  <c r="CT36" i="1"/>
  <c r="CV36" i="1"/>
  <c r="U36" i="1" s="1"/>
  <c r="AH41" i="1" s="1"/>
  <c r="CX36" i="1"/>
  <c r="W36" i="1" s="1"/>
  <c r="CZ36" i="1"/>
  <c r="Y36" i="1" s="1"/>
  <c r="FR36" i="1"/>
  <c r="GL36" i="1"/>
  <c r="GN36" i="1"/>
  <c r="GP36" i="1"/>
  <c r="GV36" i="1"/>
  <c r="HC36" i="1"/>
  <c r="GX36" i="1" s="1"/>
  <c r="I37" i="1"/>
  <c r="S37" i="1"/>
  <c r="CY37" i="1" s="1"/>
  <c r="X37" i="1" s="1"/>
  <c r="AC37" i="1"/>
  <c r="AE37" i="1"/>
  <c r="AF37" i="1"/>
  <c r="AG37" i="1"/>
  <c r="CU37" i="1" s="1"/>
  <c r="T37" i="1" s="1"/>
  <c r="AH37" i="1"/>
  <c r="AI37" i="1"/>
  <c r="CW37" i="1" s="1"/>
  <c r="V37" i="1" s="1"/>
  <c r="AJ37" i="1"/>
  <c r="CR37" i="1"/>
  <c r="CT37" i="1"/>
  <c r="CV37" i="1"/>
  <c r="U37" i="1" s="1"/>
  <c r="CX37" i="1"/>
  <c r="W37" i="1" s="1"/>
  <c r="CZ37" i="1"/>
  <c r="Y37" i="1" s="1"/>
  <c r="FR37" i="1"/>
  <c r="GL37" i="1"/>
  <c r="GN37" i="1"/>
  <c r="GP37" i="1"/>
  <c r="GV37" i="1"/>
  <c r="HC37" i="1" s="1"/>
  <c r="GX37" i="1" s="1"/>
  <c r="CJ41" i="1" s="1"/>
  <c r="C38" i="1"/>
  <c r="D38" i="1"/>
  <c r="P38" i="1"/>
  <c r="R38" i="1"/>
  <c r="GK38" i="1" s="1"/>
  <c r="T38" i="1"/>
  <c r="AC38" i="1"/>
  <c r="AD38" i="1"/>
  <c r="AB38" i="1" s="1"/>
  <c r="AE38" i="1"/>
  <c r="Q38" i="1" s="1"/>
  <c r="AF38" i="1"/>
  <c r="AG38" i="1"/>
  <c r="AH38" i="1"/>
  <c r="CV38" i="1" s="1"/>
  <c r="U38" i="1" s="1"/>
  <c r="AI38" i="1"/>
  <c r="AJ38" i="1"/>
  <c r="CX38" i="1" s="1"/>
  <c r="W38" i="1" s="1"/>
  <c r="CQ38" i="1"/>
  <c r="CR38" i="1"/>
  <c r="CS38" i="1"/>
  <c r="CU38" i="1"/>
  <c r="CW38" i="1"/>
  <c r="V38" i="1" s="1"/>
  <c r="AI41" i="1" s="1"/>
  <c r="FR38" i="1"/>
  <c r="BY41" i="1" s="1"/>
  <c r="GL38" i="1"/>
  <c r="GN38" i="1"/>
  <c r="GP38" i="1"/>
  <c r="GV38" i="1"/>
  <c r="GX38" i="1"/>
  <c r="HC38" i="1"/>
  <c r="S39" i="1"/>
  <c r="CY39" i="1" s="1"/>
  <c r="X39" i="1" s="1"/>
  <c r="U39" i="1"/>
  <c r="Y39" i="1"/>
  <c r="AC39" i="1"/>
  <c r="AE39" i="1"/>
  <c r="CR39" i="1" s="1"/>
  <c r="AF39" i="1"/>
  <c r="AG39" i="1"/>
  <c r="CU39" i="1" s="1"/>
  <c r="T39" i="1" s="1"/>
  <c r="AH39" i="1"/>
  <c r="AI39" i="1"/>
  <c r="CW39" i="1" s="1"/>
  <c r="V39" i="1" s="1"/>
  <c r="AJ39" i="1"/>
  <c r="CT39" i="1"/>
  <c r="CV39" i="1"/>
  <c r="CX39" i="1"/>
  <c r="W39" i="1" s="1"/>
  <c r="AJ41" i="1" s="1"/>
  <c r="CZ39" i="1"/>
  <c r="FR39" i="1"/>
  <c r="GL39" i="1"/>
  <c r="GN39" i="1"/>
  <c r="GP39" i="1"/>
  <c r="GV39" i="1"/>
  <c r="HC39" i="1"/>
  <c r="GX39" i="1" s="1"/>
  <c r="B41" i="1"/>
  <c r="B26" i="1" s="1"/>
  <c r="C41" i="1"/>
  <c r="C26" i="1" s="1"/>
  <c r="D41" i="1"/>
  <c r="D26" i="1" s="1"/>
  <c r="F41" i="1"/>
  <c r="F26" i="1" s="1"/>
  <c r="G41" i="1"/>
  <c r="G26" i="1" s="1"/>
  <c r="AG41" i="1"/>
  <c r="BX41" i="1"/>
  <c r="BX26" i="1" s="1"/>
  <c r="BZ41" i="1"/>
  <c r="BZ26" i="1" s="1"/>
  <c r="CB41" i="1"/>
  <c r="CB26" i="1" s="1"/>
  <c r="CD41" i="1"/>
  <c r="CD26" i="1" s="1"/>
  <c r="CK41" i="1"/>
  <c r="CK26" i="1" s="1"/>
  <c r="CL41" i="1"/>
  <c r="CL26" i="1" s="1"/>
  <c r="CM41" i="1"/>
  <c r="CM26" i="1" s="1"/>
  <c r="D71" i="1"/>
  <c r="E73" i="1"/>
  <c r="Z73" i="1"/>
  <c r="AA73" i="1"/>
  <c r="AM73" i="1"/>
  <c r="AN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EO73" i="1"/>
  <c r="EP73" i="1"/>
  <c r="EQ73" i="1"/>
  <c r="ER73" i="1"/>
  <c r="ES73" i="1"/>
  <c r="ET73" i="1"/>
  <c r="EU73" i="1"/>
  <c r="EV73" i="1"/>
  <c r="EW73" i="1"/>
  <c r="EX73" i="1"/>
  <c r="EY73" i="1"/>
  <c r="EZ73" i="1"/>
  <c r="FA73" i="1"/>
  <c r="FB73" i="1"/>
  <c r="FC73" i="1"/>
  <c r="FD73" i="1"/>
  <c r="FE73" i="1"/>
  <c r="FF73" i="1"/>
  <c r="FG73" i="1"/>
  <c r="FH73" i="1"/>
  <c r="FI73" i="1"/>
  <c r="FJ73" i="1"/>
  <c r="FK73" i="1"/>
  <c r="FL73" i="1"/>
  <c r="FM73" i="1"/>
  <c r="FN73" i="1"/>
  <c r="FO73" i="1"/>
  <c r="FP73" i="1"/>
  <c r="FQ73" i="1"/>
  <c r="FR73" i="1"/>
  <c r="FS73" i="1"/>
  <c r="FT73" i="1"/>
  <c r="FU73" i="1"/>
  <c r="FV73" i="1"/>
  <c r="FW73" i="1"/>
  <c r="FX73" i="1"/>
  <c r="FY73" i="1"/>
  <c r="FZ73" i="1"/>
  <c r="GA73" i="1"/>
  <c r="GB73" i="1"/>
  <c r="GC73" i="1"/>
  <c r="GD73" i="1"/>
  <c r="GE73" i="1"/>
  <c r="GF73" i="1"/>
  <c r="GG73" i="1"/>
  <c r="GH73" i="1"/>
  <c r="GI73" i="1"/>
  <c r="GJ73" i="1"/>
  <c r="GK73" i="1"/>
  <c r="GL73" i="1"/>
  <c r="GM73" i="1"/>
  <c r="GN73" i="1"/>
  <c r="GO73" i="1"/>
  <c r="GP73" i="1"/>
  <c r="GQ73" i="1"/>
  <c r="GR73" i="1"/>
  <c r="GS73" i="1"/>
  <c r="GT73" i="1"/>
  <c r="GU73" i="1"/>
  <c r="GV73" i="1"/>
  <c r="GW73" i="1"/>
  <c r="GX73" i="1"/>
  <c r="S75" i="1"/>
  <c r="CY75" i="1" s="1"/>
  <c r="X75" i="1" s="1"/>
  <c r="W75" i="1"/>
  <c r="AC75" i="1"/>
  <c r="AE75" i="1"/>
  <c r="AF75" i="1"/>
  <c r="AG75" i="1"/>
  <c r="CU75" i="1" s="1"/>
  <c r="T75" i="1" s="1"/>
  <c r="AH75" i="1"/>
  <c r="AI75" i="1"/>
  <c r="CW75" i="1" s="1"/>
  <c r="V75" i="1" s="1"/>
  <c r="AJ75" i="1"/>
  <c r="CR75" i="1"/>
  <c r="CT75" i="1"/>
  <c r="CV75" i="1"/>
  <c r="U75" i="1" s="1"/>
  <c r="CX75" i="1"/>
  <c r="CZ75" i="1"/>
  <c r="Y75" i="1" s="1"/>
  <c r="FR75" i="1"/>
  <c r="GL75" i="1"/>
  <c r="GN75" i="1"/>
  <c r="GO75" i="1"/>
  <c r="GV75" i="1"/>
  <c r="HC75" i="1"/>
  <c r="GX75" i="1" s="1"/>
  <c r="P76" i="1"/>
  <c r="R76" i="1"/>
  <c r="GK76" i="1" s="1"/>
  <c r="V76" i="1"/>
  <c r="AC76" i="1"/>
  <c r="AD76" i="1"/>
  <c r="AB76" i="1" s="1"/>
  <c r="AE76" i="1"/>
  <c r="Q76" i="1" s="1"/>
  <c r="AF76" i="1"/>
  <c r="AG76" i="1"/>
  <c r="AH76" i="1"/>
  <c r="CV76" i="1" s="1"/>
  <c r="U76" i="1" s="1"/>
  <c r="AI76" i="1"/>
  <c r="AJ76" i="1"/>
  <c r="CX76" i="1" s="1"/>
  <c r="W76" i="1" s="1"/>
  <c r="CQ76" i="1"/>
  <c r="CR76" i="1"/>
  <c r="CS76" i="1"/>
  <c r="CU76" i="1"/>
  <c r="T76" i="1" s="1"/>
  <c r="CW76" i="1"/>
  <c r="FR76" i="1"/>
  <c r="GL76" i="1"/>
  <c r="GN76" i="1"/>
  <c r="GO76" i="1"/>
  <c r="GV76" i="1"/>
  <c r="GX76" i="1"/>
  <c r="HC76" i="1"/>
  <c r="S77" i="1"/>
  <c r="CY77" i="1" s="1"/>
  <c r="X77" i="1" s="1"/>
  <c r="U77" i="1"/>
  <c r="Y77" i="1"/>
  <c r="AC77" i="1"/>
  <c r="AE77" i="1"/>
  <c r="CR77" i="1" s="1"/>
  <c r="AF77" i="1"/>
  <c r="AG77" i="1"/>
  <c r="CU77" i="1" s="1"/>
  <c r="T77" i="1" s="1"/>
  <c r="AH77" i="1"/>
  <c r="AI77" i="1"/>
  <c r="CW77" i="1" s="1"/>
  <c r="V77" i="1" s="1"/>
  <c r="AJ77" i="1"/>
  <c r="CT77" i="1"/>
  <c r="CV77" i="1"/>
  <c r="CX77" i="1"/>
  <c r="W77" i="1" s="1"/>
  <c r="CZ77" i="1"/>
  <c r="FR77" i="1"/>
  <c r="GL77" i="1"/>
  <c r="GN77" i="1"/>
  <c r="GO77" i="1"/>
  <c r="GV77" i="1"/>
  <c r="HC77" i="1" s="1"/>
  <c r="GX77" i="1" s="1"/>
  <c r="P78" i="1"/>
  <c r="R78" i="1"/>
  <c r="GK78" i="1" s="1"/>
  <c r="T78" i="1"/>
  <c r="AC78" i="1"/>
  <c r="AD78" i="1"/>
  <c r="AB78" i="1" s="1"/>
  <c r="AE78" i="1"/>
  <c r="Q78" i="1" s="1"/>
  <c r="AF78" i="1"/>
  <c r="AG78" i="1"/>
  <c r="AH78" i="1"/>
  <c r="CV78" i="1" s="1"/>
  <c r="U78" i="1" s="1"/>
  <c r="AI78" i="1"/>
  <c r="AJ78" i="1"/>
  <c r="CX78" i="1" s="1"/>
  <c r="W78" i="1" s="1"/>
  <c r="CQ78" i="1"/>
  <c r="CR78" i="1"/>
  <c r="CS78" i="1"/>
  <c r="CU78" i="1"/>
  <c r="CW78" i="1"/>
  <c r="V78" i="1" s="1"/>
  <c r="FR78" i="1"/>
  <c r="GL78" i="1"/>
  <c r="GN78" i="1"/>
  <c r="GO78" i="1"/>
  <c r="GV78" i="1"/>
  <c r="GX78" i="1"/>
  <c r="HC78" i="1"/>
  <c r="S79" i="1"/>
  <c r="CY79" i="1" s="1"/>
  <c r="X79" i="1" s="1"/>
  <c r="W79" i="1"/>
  <c r="AC79" i="1"/>
  <c r="AE79" i="1"/>
  <c r="AF79" i="1"/>
  <c r="AG79" i="1"/>
  <c r="CU79" i="1" s="1"/>
  <c r="T79" i="1" s="1"/>
  <c r="AH79" i="1"/>
  <c r="AI79" i="1"/>
  <c r="CW79" i="1" s="1"/>
  <c r="V79" i="1" s="1"/>
  <c r="AJ79" i="1"/>
  <c r="CR79" i="1"/>
  <c r="CT79" i="1"/>
  <c r="CV79" i="1"/>
  <c r="U79" i="1" s="1"/>
  <c r="CX79" i="1"/>
  <c r="CZ79" i="1"/>
  <c r="Y79" i="1" s="1"/>
  <c r="FR79" i="1"/>
  <c r="GL79" i="1"/>
  <c r="GN79" i="1"/>
  <c r="GO79" i="1"/>
  <c r="CC86" i="1" s="1"/>
  <c r="GV79" i="1"/>
  <c r="HC79" i="1"/>
  <c r="GX79" i="1" s="1"/>
  <c r="P80" i="1"/>
  <c r="R80" i="1"/>
  <c r="GK80" i="1" s="1"/>
  <c r="V80" i="1"/>
  <c r="AC80" i="1"/>
  <c r="AD80" i="1"/>
  <c r="AB80" i="1" s="1"/>
  <c r="AE80" i="1"/>
  <c r="Q80" i="1" s="1"/>
  <c r="AF80" i="1"/>
  <c r="AG80" i="1"/>
  <c r="AH80" i="1"/>
  <c r="CV80" i="1" s="1"/>
  <c r="U80" i="1" s="1"/>
  <c r="AI80" i="1"/>
  <c r="AJ80" i="1"/>
  <c r="CX80" i="1" s="1"/>
  <c r="W80" i="1" s="1"/>
  <c r="CQ80" i="1"/>
  <c r="CR80" i="1"/>
  <c r="CS80" i="1"/>
  <c r="CU80" i="1"/>
  <c r="T80" i="1" s="1"/>
  <c r="CW80" i="1"/>
  <c r="FR80" i="1"/>
  <c r="GL80" i="1"/>
  <c r="GN80" i="1"/>
  <c r="GO80" i="1"/>
  <c r="GV80" i="1"/>
  <c r="GX80" i="1"/>
  <c r="HC80" i="1"/>
  <c r="I81" i="1"/>
  <c r="P81" i="1"/>
  <c r="AC81" i="1"/>
  <c r="AD81" i="1"/>
  <c r="AB81" i="1" s="1"/>
  <c r="AE81" i="1"/>
  <c r="R81" i="1" s="1"/>
  <c r="GK81" i="1" s="1"/>
  <c r="AF81" i="1"/>
  <c r="S81" i="1" s="1"/>
  <c r="CZ81" i="1" s="1"/>
  <c r="Y81" i="1" s="1"/>
  <c r="AG81" i="1"/>
  <c r="AH81" i="1"/>
  <c r="CV81" i="1" s="1"/>
  <c r="U81" i="1" s="1"/>
  <c r="AI81" i="1"/>
  <c r="AJ81" i="1"/>
  <c r="CX81" i="1" s="1"/>
  <c r="W81" i="1" s="1"/>
  <c r="CQ81" i="1"/>
  <c r="CR81" i="1"/>
  <c r="CS81" i="1"/>
  <c r="CU81" i="1"/>
  <c r="T81" i="1" s="1"/>
  <c r="CW81" i="1"/>
  <c r="V81" i="1" s="1"/>
  <c r="CY81" i="1"/>
  <c r="X81" i="1" s="1"/>
  <c r="FR81" i="1"/>
  <c r="BY86" i="1" s="1"/>
  <c r="GL81" i="1"/>
  <c r="GN81" i="1"/>
  <c r="GO81" i="1"/>
  <c r="GV81" i="1"/>
  <c r="GX81" i="1"/>
  <c r="HC81" i="1"/>
  <c r="S82" i="1"/>
  <c r="CY82" i="1" s="1"/>
  <c r="X82" i="1" s="1"/>
  <c r="AC82" i="1"/>
  <c r="P82" i="1" s="1"/>
  <c r="CP82" i="1" s="1"/>
  <c r="O82" i="1" s="1"/>
  <c r="AE82" i="1"/>
  <c r="Q82" i="1" s="1"/>
  <c r="AF82" i="1"/>
  <c r="AG82" i="1"/>
  <c r="CU82" i="1" s="1"/>
  <c r="T82" i="1" s="1"/>
  <c r="AH82" i="1"/>
  <c r="AI82" i="1"/>
  <c r="CW82" i="1" s="1"/>
  <c r="V82" i="1" s="1"/>
  <c r="AJ82" i="1"/>
  <c r="CR82" i="1"/>
  <c r="CT82" i="1"/>
  <c r="CV82" i="1"/>
  <c r="U82" i="1" s="1"/>
  <c r="CX82" i="1"/>
  <c r="W82" i="1" s="1"/>
  <c r="CZ82" i="1"/>
  <c r="Y82" i="1" s="1"/>
  <c r="FR82" i="1"/>
  <c r="GL82" i="1"/>
  <c r="GN82" i="1"/>
  <c r="GO82" i="1"/>
  <c r="GV82" i="1"/>
  <c r="HC82" i="1"/>
  <c r="GX82" i="1" s="1"/>
  <c r="P83" i="1"/>
  <c r="R83" i="1"/>
  <c r="GK83" i="1" s="1"/>
  <c r="AC83" i="1"/>
  <c r="AD83" i="1"/>
  <c r="AB83" i="1" s="1"/>
  <c r="AE83" i="1"/>
  <c r="Q83" i="1" s="1"/>
  <c r="AF83" i="1"/>
  <c r="S83" i="1" s="1"/>
  <c r="AG83" i="1"/>
  <c r="AH83" i="1"/>
  <c r="CV83" i="1" s="1"/>
  <c r="U83" i="1" s="1"/>
  <c r="AI83" i="1"/>
  <c r="AJ83" i="1"/>
  <c r="CX83" i="1" s="1"/>
  <c r="W83" i="1" s="1"/>
  <c r="CQ83" i="1"/>
  <c r="CR83" i="1"/>
  <c r="CS83" i="1"/>
  <c r="CU83" i="1"/>
  <c r="T83" i="1" s="1"/>
  <c r="CW83" i="1"/>
  <c r="V83" i="1" s="1"/>
  <c r="FR83" i="1"/>
  <c r="GL83" i="1"/>
  <c r="GN83" i="1"/>
  <c r="GO83" i="1"/>
  <c r="GV83" i="1"/>
  <c r="GX83" i="1"/>
  <c r="HC83" i="1"/>
  <c r="S84" i="1"/>
  <c r="CY84" i="1" s="1"/>
  <c r="X84" i="1" s="1"/>
  <c r="AC84" i="1"/>
  <c r="P84" i="1" s="1"/>
  <c r="AE84" i="1"/>
  <c r="Q84" i="1" s="1"/>
  <c r="AF84" i="1"/>
  <c r="AG84" i="1"/>
  <c r="CU84" i="1" s="1"/>
  <c r="T84" i="1" s="1"/>
  <c r="AH84" i="1"/>
  <c r="AI84" i="1"/>
  <c r="CW84" i="1" s="1"/>
  <c r="V84" i="1" s="1"/>
  <c r="AJ84" i="1"/>
  <c r="CR84" i="1"/>
  <c r="CT84" i="1"/>
  <c r="CV84" i="1"/>
  <c r="U84" i="1" s="1"/>
  <c r="CX84" i="1"/>
  <c r="W84" i="1" s="1"/>
  <c r="CZ84" i="1"/>
  <c r="Y84" i="1" s="1"/>
  <c r="FR84" i="1"/>
  <c r="GL84" i="1"/>
  <c r="GN84" i="1"/>
  <c r="GO84" i="1"/>
  <c r="GV84" i="1"/>
  <c r="HC84" i="1"/>
  <c r="GX84" i="1" s="1"/>
  <c r="B86" i="1"/>
  <c r="B73" i="1" s="1"/>
  <c r="C86" i="1"/>
  <c r="C73" i="1" s="1"/>
  <c r="D86" i="1"/>
  <c r="D73" i="1" s="1"/>
  <c r="F86" i="1"/>
  <c r="F73" i="1" s="1"/>
  <c r="G86" i="1"/>
  <c r="G73" i="1" s="1"/>
  <c r="BX86" i="1"/>
  <c r="BX73" i="1" s="1"/>
  <c r="BZ86" i="1"/>
  <c r="BZ73" i="1" s="1"/>
  <c r="CB86" i="1"/>
  <c r="CB73" i="1" s="1"/>
  <c r="CK86" i="1"/>
  <c r="CK73" i="1" s="1"/>
  <c r="CL86" i="1"/>
  <c r="CL73" i="1" s="1"/>
  <c r="CM86" i="1"/>
  <c r="CM73" i="1" s="1"/>
  <c r="D116" i="1"/>
  <c r="B118" i="1"/>
  <c r="D118" i="1"/>
  <c r="E118" i="1"/>
  <c r="Z118" i="1"/>
  <c r="AA118" i="1"/>
  <c r="AM118" i="1"/>
  <c r="AN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DB118" i="1"/>
  <c r="DC118" i="1"/>
  <c r="DD118" i="1"/>
  <c r="DE118" i="1"/>
  <c r="DF118" i="1"/>
  <c r="DG118" i="1"/>
  <c r="DH118" i="1"/>
  <c r="DI118" i="1"/>
  <c r="DJ118" i="1"/>
  <c r="DK118" i="1"/>
  <c r="DL118" i="1"/>
  <c r="DM118" i="1"/>
  <c r="DN118" i="1"/>
  <c r="DO118" i="1"/>
  <c r="DP118" i="1"/>
  <c r="DQ118" i="1"/>
  <c r="DR118" i="1"/>
  <c r="DS118" i="1"/>
  <c r="DT118" i="1"/>
  <c r="DU118" i="1"/>
  <c r="DV118" i="1"/>
  <c r="DW118" i="1"/>
  <c r="DX118" i="1"/>
  <c r="DY118" i="1"/>
  <c r="DZ118" i="1"/>
  <c r="EA118" i="1"/>
  <c r="EB118" i="1"/>
  <c r="EC118" i="1"/>
  <c r="ED118" i="1"/>
  <c r="EE118" i="1"/>
  <c r="EF118" i="1"/>
  <c r="EG118" i="1"/>
  <c r="EH118" i="1"/>
  <c r="EI118" i="1"/>
  <c r="EJ118" i="1"/>
  <c r="EK118" i="1"/>
  <c r="EL118" i="1"/>
  <c r="EM118" i="1"/>
  <c r="EN118" i="1"/>
  <c r="EO118" i="1"/>
  <c r="EP118" i="1"/>
  <c r="EQ118" i="1"/>
  <c r="ER118" i="1"/>
  <c r="ES118" i="1"/>
  <c r="ET118" i="1"/>
  <c r="EU118" i="1"/>
  <c r="EV118" i="1"/>
  <c r="EW118" i="1"/>
  <c r="EX118" i="1"/>
  <c r="EY118" i="1"/>
  <c r="EZ118" i="1"/>
  <c r="FA118" i="1"/>
  <c r="FB118" i="1"/>
  <c r="FC118" i="1"/>
  <c r="FD118" i="1"/>
  <c r="FE118" i="1"/>
  <c r="FF118" i="1"/>
  <c r="FG118" i="1"/>
  <c r="FH118" i="1"/>
  <c r="FI118" i="1"/>
  <c r="FJ118" i="1"/>
  <c r="FK118" i="1"/>
  <c r="FL118" i="1"/>
  <c r="FM118" i="1"/>
  <c r="FN118" i="1"/>
  <c r="FO118" i="1"/>
  <c r="FP118" i="1"/>
  <c r="FQ118" i="1"/>
  <c r="FR118" i="1"/>
  <c r="FS118" i="1"/>
  <c r="FT118" i="1"/>
  <c r="FU118" i="1"/>
  <c r="FV118" i="1"/>
  <c r="FW118" i="1"/>
  <c r="FX118" i="1"/>
  <c r="FY118" i="1"/>
  <c r="FZ118" i="1"/>
  <c r="GA118" i="1"/>
  <c r="GB118" i="1"/>
  <c r="GC118" i="1"/>
  <c r="GD118" i="1"/>
  <c r="GE118" i="1"/>
  <c r="GF118" i="1"/>
  <c r="GG118" i="1"/>
  <c r="GH118" i="1"/>
  <c r="GI118" i="1"/>
  <c r="GJ118" i="1"/>
  <c r="GK118" i="1"/>
  <c r="GL118" i="1"/>
  <c r="GM118" i="1"/>
  <c r="GN118" i="1"/>
  <c r="GO118" i="1"/>
  <c r="GP118" i="1"/>
  <c r="GQ118" i="1"/>
  <c r="GR118" i="1"/>
  <c r="GS118" i="1"/>
  <c r="GT118" i="1"/>
  <c r="GU118" i="1"/>
  <c r="GV118" i="1"/>
  <c r="GW118" i="1"/>
  <c r="GX118" i="1"/>
  <c r="S120" i="1"/>
  <c r="CY120" i="1" s="1"/>
  <c r="X120" i="1" s="1"/>
  <c r="AC120" i="1"/>
  <c r="P120" i="1" s="1"/>
  <c r="AE120" i="1"/>
  <c r="Q120" i="1" s="1"/>
  <c r="AF120" i="1"/>
  <c r="AG120" i="1"/>
  <c r="CU120" i="1" s="1"/>
  <c r="T120" i="1" s="1"/>
  <c r="AG128" i="1" s="1"/>
  <c r="AH120" i="1"/>
  <c r="AI120" i="1"/>
  <c r="CW120" i="1" s="1"/>
  <c r="V120" i="1" s="1"/>
  <c r="AJ120" i="1"/>
  <c r="CR120" i="1"/>
  <c r="CT120" i="1"/>
  <c r="CV120" i="1"/>
  <c r="U120" i="1" s="1"/>
  <c r="CX120" i="1"/>
  <c r="W120" i="1" s="1"/>
  <c r="CZ120" i="1"/>
  <c r="Y120" i="1" s="1"/>
  <c r="FR120" i="1"/>
  <c r="GL120" i="1"/>
  <c r="GN120" i="1"/>
  <c r="GP120" i="1"/>
  <c r="GV120" i="1"/>
  <c r="HC120" i="1"/>
  <c r="GX120" i="1" s="1"/>
  <c r="I121" i="1"/>
  <c r="S121" i="1"/>
  <c r="CY121" i="1" s="1"/>
  <c r="X121" i="1" s="1"/>
  <c r="W121" i="1"/>
  <c r="AC121" i="1"/>
  <c r="AE121" i="1"/>
  <c r="AF121" i="1"/>
  <c r="AG121" i="1"/>
  <c r="CU121" i="1" s="1"/>
  <c r="T121" i="1" s="1"/>
  <c r="AH121" i="1"/>
  <c r="AI121" i="1"/>
  <c r="CW121" i="1" s="1"/>
  <c r="V121" i="1" s="1"/>
  <c r="AJ121" i="1"/>
  <c r="CR121" i="1"/>
  <c r="CT121" i="1"/>
  <c r="CV121" i="1"/>
  <c r="U121" i="1" s="1"/>
  <c r="CX121" i="1"/>
  <c r="CZ121" i="1"/>
  <c r="Y121" i="1" s="1"/>
  <c r="FR121" i="1"/>
  <c r="GL121" i="1"/>
  <c r="GN121" i="1"/>
  <c r="GP121" i="1"/>
  <c r="GV121" i="1"/>
  <c r="HC121" i="1" s="1"/>
  <c r="GX121" i="1" s="1"/>
  <c r="CJ128" i="1" s="1"/>
  <c r="P122" i="1"/>
  <c r="R122" i="1"/>
  <c r="GK122" i="1" s="1"/>
  <c r="T122" i="1"/>
  <c r="AC122" i="1"/>
  <c r="AD122" i="1"/>
  <c r="AB122" i="1" s="1"/>
  <c r="AE122" i="1"/>
  <c r="Q122" i="1" s="1"/>
  <c r="AF122" i="1"/>
  <c r="AG122" i="1"/>
  <c r="AH122" i="1"/>
  <c r="CV122" i="1" s="1"/>
  <c r="U122" i="1" s="1"/>
  <c r="AI122" i="1"/>
  <c r="AJ122" i="1"/>
  <c r="CX122" i="1" s="1"/>
  <c r="W122" i="1" s="1"/>
  <c r="CQ122" i="1"/>
  <c r="CR122" i="1"/>
  <c r="CS122" i="1"/>
  <c r="CU122" i="1"/>
  <c r="CW122" i="1"/>
  <c r="V122" i="1" s="1"/>
  <c r="FR122" i="1"/>
  <c r="GL122" i="1"/>
  <c r="GN122" i="1"/>
  <c r="GP122" i="1"/>
  <c r="GV122" i="1"/>
  <c r="GX122" i="1"/>
  <c r="HC122" i="1"/>
  <c r="I123" i="1"/>
  <c r="Q123" i="1" s="1"/>
  <c r="P123" i="1"/>
  <c r="R123" i="1"/>
  <c r="GK123" i="1" s="1"/>
  <c r="T123" i="1"/>
  <c r="AC123" i="1"/>
  <c r="AD123" i="1"/>
  <c r="AB123" i="1" s="1"/>
  <c r="AE123" i="1"/>
  <c r="AF123" i="1"/>
  <c r="AG123" i="1"/>
  <c r="AH123" i="1"/>
  <c r="CV123" i="1" s="1"/>
  <c r="U123" i="1" s="1"/>
  <c r="AI123" i="1"/>
  <c r="AJ123" i="1"/>
  <c r="CX123" i="1" s="1"/>
  <c r="W123" i="1" s="1"/>
  <c r="CQ123" i="1"/>
  <c r="CR123" i="1"/>
  <c r="CS123" i="1"/>
  <c r="CU123" i="1"/>
  <c r="CW123" i="1"/>
  <c r="V123" i="1" s="1"/>
  <c r="FR123" i="1"/>
  <c r="GL123" i="1"/>
  <c r="GN123" i="1"/>
  <c r="GP123" i="1"/>
  <c r="GV123" i="1"/>
  <c r="GX123" i="1"/>
  <c r="HC123" i="1"/>
  <c r="I124" i="1"/>
  <c r="Q124" i="1" s="1"/>
  <c r="P124" i="1"/>
  <c r="R124" i="1"/>
  <c r="GK124" i="1" s="1"/>
  <c r="T124" i="1"/>
  <c r="AC124" i="1"/>
  <c r="AD124" i="1"/>
  <c r="AB124" i="1" s="1"/>
  <c r="AE124" i="1"/>
  <c r="AF124" i="1"/>
  <c r="AG124" i="1"/>
  <c r="AH124" i="1"/>
  <c r="CV124" i="1" s="1"/>
  <c r="U124" i="1" s="1"/>
  <c r="AI124" i="1"/>
  <c r="AJ124" i="1"/>
  <c r="CX124" i="1" s="1"/>
  <c r="W124" i="1" s="1"/>
  <c r="CQ124" i="1"/>
  <c r="CR124" i="1"/>
  <c r="CS124" i="1"/>
  <c r="CU124" i="1"/>
  <c r="CW124" i="1"/>
  <c r="V124" i="1" s="1"/>
  <c r="FR124" i="1"/>
  <c r="GL124" i="1"/>
  <c r="GN124" i="1"/>
  <c r="GP124" i="1"/>
  <c r="GV124" i="1"/>
  <c r="GX124" i="1"/>
  <c r="HC124" i="1"/>
  <c r="I125" i="1"/>
  <c r="Q125" i="1" s="1"/>
  <c r="P125" i="1"/>
  <c r="R125" i="1"/>
  <c r="GK125" i="1" s="1"/>
  <c r="T125" i="1"/>
  <c r="AC125" i="1"/>
  <c r="AD125" i="1"/>
  <c r="AB125" i="1" s="1"/>
  <c r="AE125" i="1"/>
  <c r="AF125" i="1"/>
  <c r="AG125" i="1"/>
  <c r="AH125" i="1"/>
  <c r="CV125" i="1" s="1"/>
  <c r="U125" i="1" s="1"/>
  <c r="AI125" i="1"/>
  <c r="AJ125" i="1"/>
  <c r="CX125" i="1" s="1"/>
  <c r="W125" i="1" s="1"/>
  <c r="CQ125" i="1"/>
  <c r="CR125" i="1"/>
  <c r="CS125" i="1"/>
  <c r="CU125" i="1"/>
  <c r="CW125" i="1"/>
  <c r="V125" i="1" s="1"/>
  <c r="FR125" i="1"/>
  <c r="GL125" i="1"/>
  <c r="GN125" i="1"/>
  <c r="GP125" i="1"/>
  <c r="GV125" i="1"/>
  <c r="GX125" i="1"/>
  <c r="HC125" i="1"/>
  <c r="S126" i="1"/>
  <c r="CY126" i="1" s="1"/>
  <c r="X126" i="1" s="1"/>
  <c r="U126" i="1"/>
  <c r="Y126" i="1"/>
  <c r="AC126" i="1"/>
  <c r="AE126" i="1"/>
  <c r="CR126" i="1" s="1"/>
  <c r="AF126" i="1"/>
  <c r="AG126" i="1"/>
  <c r="CU126" i="1" s="1"/>
  <c r="T126" i="1" s="1"/>
  <c r="AH126" i="1"/>
  <c r="AI126" i="1"/>
  <c r="CW126" i="1" s="1"/>
  <c r="V126" i="1" s="1"/>
  <c r="AJ126" i="1"/>
  <c r="CT126" i="1"/>
  <c r="CV126" i="1"/>
  <c r="CX126" i="1"/>
  <c r="W126" i="1" s="1"/>
  <c r="CZ126" i="1"/>
  <c r="FR126" i="1"/>
  <c r="GL126" i="1"/>
  <c r="GN126" i="1"/>
  <c r="GO126" i="1"/>
  <c r="GV126" i="1"/>
  <c r="HC126" i="1" s="1"/>
  <c r="GX126" i="1" s="1"/>
  <c r="B128" i="1"/>
  <c r="C128" i="1"/>
  <c r="C118" i="1" s="1"/>
  <c r="D128" i="1"/>
  <c r="F128" i="1"/>
  <c r="F118" i="1" s="1"/>
  <c r="G128" i="1"/>
  <c r="G118" i="1" s="1"/>
  <c r="BX128" i="1"/>
  <c r="BZ128" i="1"/>
  <c r="BZ118" i="1" s="1"/>
  <c r="CB128" i="1"/>
  <c r="CB118" i="1" s="1"/>
  <c r="CK128" i="1"/>
  <c r="CK118" i="1" s="1"/>
  <c r="CL128" i="1"/>
  <c r="CL118" i="1" s="1"/>
  <c r="CM128" i="1"/>
  <c r="CM118" i="1" s="1"/>
  <c r="B158" i="1"/>
  <c r="B22" i="1" s="1"/>
  <c r="C158" i="1"/>
  <c r="C22" i="1" s="1"/>
  <c r="D158" i="1"/>
  <c r="D22" i="1" s="1"/>
  <c r="F158" i="1"/>
  <c r="F22" i="1" s="1"/>
  <c r="G158" i="1"/>
  <c r="G22" i="1" s="1"/>
  <c r="B188" i="1"/>
  <c r="B18" i="1" s="1"/>
  <c r="C188" i="1"/>
  <c r="C18" i="1" s="1"/>
  <c r="D188" i="1"/>
  <c r="D18" i="1" s="1"/>
  <c r="F188" i="1"/>
  <c r="F18" i="1" s="1"/>
  <c r="G188" i="1"/>
  <c r="I21" i="5" l="1"/>
  <c r="I25" i="5"/>
  <c r="J252" i="5"/>
  <c r="H244" i="5"/>
  <c r="G18" i="1"/>
  <c r="A259" i="6"/>
  <c r="AL252" i="5"/>
  <c r="AL259" i="6"/>
  <c r="A252" i="5"/>
  <c r="K231" i="6"/>
  <c r="I231" i="6"/>
  <c r="I165" i="6"/>
  <c r="I255" i="6"/>
  <c r="I259" i="6"/>
  <c r="I251" i="6"/>
  <c r="K259" i="6"/>
  <c r="K255" i="6"/>
  <c r="K165" i="6"/>
  <c r="J224" i="5"/>
  <c r="I26" i="5"/>
  <c r="J248" i="5"/>
  <c r="H158" i="5"/>
  <c r="H252" i="5"/>
  <c r="H224" i="5"/>
  <c r="I23" i="5"/>
  <c r="J158" i="5"/>
  <c r="H248" i="5"/>
  <c r="AI128" i="1"/>
  <c r="AG118" i="1"/>
  <c r="T128" i="1"/>
  <c r="CJ118" i="1"/>
  <c r="BA128" i="1"/>
  <c r="Q126" i="1"/>
  <c r="BC128" i="1"/>
  <c r="AQ128" i="1"/>
  <c r="P126" i="1"/>
  <c r="CQ126" i="1"/>
  <c r="S125" i="1"/>
  <c r="CT125" i="1"/>
  <c r="S124" i="1"/>
  <c r="CP124" i="1" s="1"/>
  <c r="O124" i="1" s="1"/>
  <c r="CT124" i="1"/>
  <c r="S123" i="1"/>
  <c r="CT123" i="1"/>
  <c r="S122" i="1"/>
  <c r="CT122" i="1"/>
  <c r="Q121" i="1"/>
  <c r="R121" i="1"/>
  <c r="GK121" i="1" s="1"/>
  <c r="AD121" i="1"/>
  <c r="CS121" i="1"/>
  <c r="AJ128" i="1"/>
  <c r="CP120" i="1"/>
  <c r="O120" i="1" s="1"/>
  <c r="CP84" i="1"/>
  <c r="O84" i="1" s="1"/>
  <c r="CY83" i="1"/>
  <c r="X83" i="1" s="1"/>
  <c r="CZ83" i="1"/>
  <c r="Y83" i="1" s="1"/>
  <c r="AI86" i="1"/>
  <c r="CJ86" i="1"/>
  <c r="AJ86" i="1"/>
  <c r="AH86" i="1"/>
  <c r="BX118" i="1"/>
  <c r="CG128" i="1"/>
  <c r="AS128" i="1"/>
  <c r="AO128" i="1"/>
  <c r="R126" i="1"/>
  <c r="GK126" i="1" s="1"/>
  <c r="AD126" i="1"/>
  <c r="AB126" i="1" s="1"/>
  <c r="CS126" i="1"/>
  <c r="CP125" i="1"/>
  <c r="O125" i="1" s="1"/>
  <c r="BY128" i="1"/>
  <c r="CP122" i="1"/>
  <c r="O122" i="1" s="1"/>
  <c r="P121" i="1"/>
  <c r="AB121" i="1"/>
  <c r="CQ121" i="1"/>
  <c r="AH128" i="1"/>
  <c r="AD128" i="1"/>
  <c r="CP83" i="1"/>
  <c r="O83" i="1" s="1"/>
  <c r="BY73" i="1"/>
  <c r="AP86" i="1"/>
  <c r="CI86" i="1"/>
  <c r="CC73" i="1"/>
  <c r="AT86" i="1"/>
  <c r="AG86" i="1"/>
  <c r="BD128" i="1"/>
  <c r="BB128" i="1"/>
  <c r="AF128" i="1"/>
  <c r="CS120" i="1"/>
  <c r="CQ120" i="1"/>
  <c r="AD120" i="1"/>
  <c r="AB120" i="1"/>
  <c r="R120" i="1"/>
  <c r="CG86" i="1"/>
  <c r="BD86" i="1"/>
  <c r="BB86" i="1"/>
  <c r="CS84" i="1"/>
  <c r="CQ84" i="1"/>
  <c r="AD84" i="1"/>
  <c r="AB84" i="1"/>
  <c r="R84" i="1"/>
  <c r="GK84" i="1" s="1"/>
  <c r="CT83" i="1"/>
  <c r="CS82" i="1"/>
  <c r="CQ82" i="1"/>
  <c r="AD82" i="1"/>
  <c r="AB82" i="1"/>
  <c r="R82" i="1"/>
  <c r="GK82" i="1" s="1"/>
  <c r="GM82" i="1" s="1"/>
  <c r="CT81" i="1"/>
  <c r="Q81" i="1"/>
  <c r="CP81" i="1" s="1"/>
  <c r="O81" i="1" s="1"/>
  <c r="CP80" i="1"/>
  <c r="O80" i="1" s="1"/>
  <c r="R79" i="1"/>
  <c r="GK79" i="1" s="1"/>
  <c r="AD79" i="1"/>
  <c r="CS79" i="1"/>
  <c r="Q79" i="1"/>
  <c r="S78" i="1"/>
  <c r="CT78" i="1"/>
  <c r="P77" i="1"/>
  <c r="CQ77" i="1"/>
  <c r="CP76" i="1"/>
  <c r="O76" i="1" s="1"/>
  <c r="R75" i="1"/>
  <c r="AD75" i="1"/>
  <c r="CS75" i="1"/>
  <c r="Q75" i="1"/>
  <c r="AJ26" i="1"/>
  <c r="W41" i="1"/>
  <c r="AI26" i="1"/>
  <c r="V41" i="1"/>
  <c r="CJ26" i="1"/>
  <c r="BA41" i="1"/>
  <c r="BC86" i="1"/>
  <c r="AS86" i="1"/>
  <c r="AQ86" i="1"/>
  <c r="AO86" i="1"/>
  <c r="S80" i="1"/>
  <c r="CT80" i="1"/>
  <c r="P79" i="1"/>
  <c r="AB79" i="1"/>
  <c r="CQ79" i="1"/>
  <c r="CP78" i="1"/>
  <c r="O78" i="1" s="1"/>
  <c r="R77" i="1"/>
  <c r="GK77" i="1" s="1"/>
  <c r="AD77" i="1"/>
  <c r="AB77" i="1" s="1"/>
  <c r="CS77" i="1"/>
  <c r="Q77" i="1"/>
  <c r="S76" i="1"/>
  <c r="CT76" i="1"/>
  <c r="P75" i="1"/>
  <c r="AB75" i="1"/>
  <c r="CQ75" i="1"/>
  <c r="BY26" i="1"/>
  <c r="AP41" i="1"/>
  <c r="CI41" i="1"/>
  <c r="AH26" i="1"/>
  <c r="U41" i="1"/>
  <c r="CG41" i="1"/>
  <c r="BD41" i="1"/>
  <c r="BB41" i="1"/>
  <c r="P39" i="1"/>
  <c r="CQ39" i="1"/>
  <c r="S38" i="1"/>
  <c r="CT38" i="1"/>
  <c r="Q37" i="1"/>
  <c r="R37" i="1"/>
  <c r="GK37" i="1" s="1"/>
  <c r="AD37" i="1"/>
  <c r="CS37" i="1"/>
  <c r="CP36" i="1"/>
  <c r="O36" i="1" s="1"/>
  <c r="CP35" i="1"/>
  <c r="O35" i="1" s="1"/>
  <c r="CP34" i="1"/>
  <c r="O34" i="1" s="1"/>
  <c r="CP33" i="1"/>
  <c r="O33" i="1" s="1"/>
  <c r="CP32" i="1"/>
  <c r="O32" i="1" s="1"/>
  <c r="CP31" i="1"/>
  <c r="O31" i="1" s="1"/>
  <c r="CP30" i="1"/>
  <c r="O30" i="1" s="1"/>
  <c r="BC41" i="1"/>
  <c r="AU41" i="1"/>
  <c r="AS41" i="1"/>
  <c r="AQ41" i="1"/>
  <c r="AO41" i="1"/>
  <c r="AG26" i="1"/>
  <c r="T41" i="1"/>
  <c r="R39" i="1"/>
  <c r="GK39" i="1" s="1"/>
  <c r="AD39" i="1"/>
  <c r="AB39" i="1" s="1"/>
  <c r="CS39" i="1"/>
  <c r="Q39" i="1"/>
  <c r="CP38" i="1"/>
  <c r="O38" i="1" s="1"/>
  <c r="P37" i="1"/>
  <c r="CP37" i="1" s="1"/>
  <c r="O37" i="1" s="1"/>
  <c r="AB37" i="1"/>
  <c r="CQ37" i="1"/>
  <c r="CS36" i="1"/>
  <c r="CQ36" i="1"/>
  <c r="AD36" i="1"/>
  <c r="AB36" i="1"/>
  <c r="R36" i="1"/>
  <c r="GK36" i="1" s="1"/>
  <c r="CS35" i="1"/>
  <c r="CQ35" i="1"/>
  <c r="AD35" i="1"/>
  <c r="AB35" i="1" s="1"/>
  <c r="R35" i="1"/>
  <c r="GK35" i="1" s="1"/>
  <c r="CS34" i="1"/>
  <c r="CQ34" i="1"/>
  <c r="AD34" i="1"/>
  <c r="AB34" i="1"/>
  <c r="R34" i="1"/>
  <c r="GK34" i="1" s="1"/>
  <c r="CS33" i="1"/>
  <c r="CQ33" i="1"/>
  <c r="AD33" i="1"/>
  <c r="AB33" i="1" s="1"/>
  <c r="R33" i="1"/>
  <c r="GK33" i="1" s="1"/>
  <c r="CS32" i="1"/>
  <c r="CQ32" i="1"/>
  <c r="AD32" i="1"/>
  <c r="AB32" i="1"/>
  <c r="R32" i="1"/>
  <c r="GK32" i="1" s="1"/>
  <c r="CS31" i="1"/>
  <c r="CQ31" i="1"/>
  <c r="AD31" i="1"/>
  <c r="AB31" i="1" s="1"/>
  <c r="R31" i="1"/>
  <c r="GK31" i="1" s="1"/>
  <c r="CS30" i="1"/>
  <c r="CQ30" i="1"/>
  <c r="AD30" i="1"/>
  <c r="AB30" i="1"/>
  <c r="R30" i="1"/>
  <c r="GK30" i="1" s="1"/>
  <c r="R29" i="1"/>
  <c r="AD29" i="1"/>
  <c r="CS29" i="1"/>
  <c r="Q29" i="1"/>
  <c r="AD41" i="1" s="1"/>
  <c r="P29" i="1"/>
  <c r="AB29" i="1"/>
  <c r="CQ29" i="1"/>
  <c r="S28" i="1"/>
  <c r="CP28" i="1" s="1"/>
  <c r="O28" i="1" s="1"/>
  <c r="CT28" i="1"/>
  <c r="GP81" i="1" l="1"/>
  <c r="GM81" i="1"/>
  <c r="GK29" i="1"/>
  <c r="AE41" i="1"/>
  <c r="CP29" i="1"/>
  <c r="O29" i="1" s="1"/>
  <c r="AC41" i="1"/>
  <c r="AD26" i="1"/>
  <c r="Q41" i="1"/>
  <c r="AQ26" i="1"/>
  <c r="F51" i="1"/>
  <c r="AQ158" i="1"/>
  <c r="AU26" i="1"/>
  <c r="F60" i="1"/>
  <c r="GM30" i="1"/>
  <c r="GO30" i="1"/>
  <c r="GM32" i="1"/>
  <c r="GO32" i="1"/>
  <c r="GM34" i="1"/>
  <c r="GO34" i="1"/>
  <c r="GM36" i="1"/>
  <c r="GO36" i="1"/>
  <c r="CZ38" i="1"/>
  <c r="Y38" i="1" s="1"/>
  <c r="CY38" i="1"/>
  <c r="X38" i="1" s="1"/>
  <c r="GO38" i="1" s="1"/>
  <c r="BB26" i="1"/>
  <c r="F54" i="1"/>
  <c r="BB158" i="1"/>
  <c r="CG26" i="1"/>
  <c r="AX41" i="1"/>
  <c r="AP26" i="1"/>
  <c r="F50" i="1"/>
  <c r="AC86" i="1"/>
  <c r="CP75" i="1"/>
  <c r="O75" i="1" s="1"/>
  <c r="CZ76" i="1"/>
  <c r="Y76" i="1" s="1"/>
  <c r="CY76" i="1"/>
  <c r="X76" i="1" s="1"/>
  <c r="AF86" i="1"/>
  <c r="CP79" i="1"/>
  <c r="O79" i="1" s="1"/>
  <c r="CZ80" i="1"/>
  <c r="Y80" i="1" s="1"/>
  <c r="CY80" i="1"/>
  <c r="X80" i="1" s="1"/>
  <c r="GP80" i="1" s="1"/>
  <c r="F96" i="1"/>
  <c r="AQ73" i="1"/>
  <c r="F102" i="1"/>
  <c r="BC73" i="1"/>
  <c r="GK75" i="1"/>
  <c r="AE86" i="1"/>
  <c r="CP77" i="1"/>
  <c r="O77" i="1" s="1"/>
  <c r="CZ78" i="1"/>
  <c r="Y78" i="1" s="1"/>
  <c r="GP78" i="1" s="1"/>
  <c r="CY78" i="1"/>
  <c r="X78" i="1" s="1"/>
  <c r="BD73" i="1"/>
  <c r="F111" i="1"/>
  <c r="GK120" i="1"/>
  <c r="GO120" i="1" s="1"/>
  <c r="AE128" i="1"/>
  <c r="BB118" i="1"/>
  <c r="F141" i="1"/>
  <c r="AG73" i="1"/>
  <c r="T86" i="1"/>
  <c r="AP73" i="1"/>
  <c r="F95" i="1"/>
  <c r="GP82" i="1"/>
  <c r="GP83" i="1"/>
  <c r="GM83" i="1"/>
  <c r="AH118" i="1"/>
  <c r="U128" i="1"/>
  <c r="CP121" i="1"/>
  <c r="O121" i="1" s="1"/>
  <c r="AC128" i="1"/>
  <c r="BY118" i="1"/>
  <c r="AP128" i="1"/>
  <c r="CI128" i="1"/>
  <c r="AS118" i="1"/>
  <c r="F145" i="1"/>
  <c r="CJ73" i="1"/>
  <c r="BA86" i="1"/>
  <c r="GM120" i="1"/>
  <c r="CP126" i="1"/>
  <c r="O126" i="1" s="1"/>
  <c r="BC118" i="1"/>
  <c r="F144" i="1"/>
  <c r="BA118" i="1"/>
  <c r="F148" i="1"/>
  <c r="T118" i="1"/>
  <c r="F149" i="1"/>
  <c r="CZ28" i="1"/>
  <c r="Y28" i="1" s="1"/>
  <c r="AL41" i="1" s="1"/>
  <c r="CY28" i="1"/>
  <c r="X28" i="1" s="1"/>
  <c r="AF41" i="1"/>
  <c r="GM37" i="1"/>
  <c r="GO37" i="1"/>
  <c r="T26" i="1"/>
  <c r="F62" i="1"/>
  <c r="T158" i="1"/>
  <c r="AO26" i="1"/>
  <c r="F45" i="1"/>
  <c r="AO158" i="1"/>
  <c r="AS26" i="1"/>
  <c r="F58" i="1"/>
  <c r="AS158" i="1"/>
  <c r="BC26" i="1"/>
  <c r="F57" i="1"/>
  <c r="BC158" i="1"/>
  <c r="GM31" i="1"/>
  <c r="GO31" i="1"/>
  <c r="GM33" i="1"/>
  <c r="GO33" i="1"/>
  <c r="GM35" i="1"/>
  <c r="GO35" i="1"/>
  <c r="CP39" i="1"/>
  <c r="O39" i="1" s="1"/>
  <c r="BD26" i="1"/>
  <c r="F66" i="1"/>
  <c r="BD158" i="1"/>
  <c r="U26" i="1"/>
  <c r="F63" i="1"/>
  <c r="CI26" i="1"/>
  <c r="AZ41" i="1"/>
  <c r="GM78" i="1"/>
  <c r="AO73" i="1"/>
  <c r="F90" i="1"/>
  <c r="AS73" i="1"/>
  <c r="F103" i="1"/>
  <c r="BA26" i="1"/>
  <c r="F61" i="1"/>
  <c r="BA158" i="1"/>
  <c r="V26" i="1"/>
  <c r="F64" i="1"/>
  <c r="W26" i="1"/>
  <c r="F65" i="1"/>
  <c r="W158" i="1"/>
  <c r="AD86" i="1"/>
  <c r="GM76" i="1"/>
  <c r="GP76" i="1"/>
  <c r="GM80" i="1"/>
  <c r="BB73" i="1"/>
  <c r="F99" i="1"/>
  <c r="CG73" i="1"/>
  <c r="AX86" i="1"/>
  <c r="AF118" i="1"/>
  <c r="S128" i="1"/>
  <c r="BD118" i="1"/>
  <c r="F153" i="1"/>
  <c r="AT73" i="1"/>
  <c r="F104" i="1"/>
  <c r="CI73" i="1"/>
  <c r="AZ86" i="1"/>
  <c r="AD118" i="1"/>
  <c r="Q128" i="1"/>
  <c r="AO118" i="1"/>
  <c r="F132" i="1"/>
  <c r="CG118" i="1"/>
  <c r="AX128" i="1"/>
  <c r="AH73" i="1"/>
  <c r="U86" i="1"/>
  <c r="AJ73" i="1"/>
  <c r="W86" i="1"/>
  <c r="AI73" i="1"/>
  <c r="V86" i="1"/>
  <c r="GM84" i="1"/>
  <c r="GP84" i="1"/>
  <c r="AJ118" i="1"/>
  <c r="W128" i="1"/>
  <c r="CZ122" i="1"/>
  <c r="Y122" i="1" s="1"/>
  <c r="AL128" i="1" s="1"/>
  <c r="CY122" i="1"/>
  <c r="X122" i="1" s="1"/>
  <c r="CZ123" i="1"/>
  <c r="Y123" i="1" s="1"/>
  <c r="CY123" i="1"/>
  <c r="X123" i="1" s="1"/>
  <c r="CZ124" i="1"/>
  <c r="Y124" i="1" s="1"/>
  <c r="CY124" i="1"/>
  <c r="X124" i="1" s="1"/>
  <c r="GM124" i="1" s="1"/>
  <c r="CZ125" i="1"/>
  <c r="Y125" i="1" s="1"/>
  <c r="GM125" i="1" s="1"/>
  <c r="CY125" i="1"/>
  <c r="X125" i="1" s="1"/>
  <c r="GO125" i="1" s="1"/>
  <c r="AQ118" i="1"/>
  <c r="F138" i="1"/>
  <c r="CP123" i="1"/>
  <c r="O123" i="1" s="1"/>
  <c r="AI118" i="1"/>
  <c r="V128" i="1"/>
  <c r="GM123" i="1" l="1"/>
  <c r="GO123" i="1"/>
  <c r="GM122" i="1"/>
  <c r="W22" i="1"/>
  <c r="F182" i="1"/>
  <c r="W188" i="1"/>
  <c r="BA22" i="1"/>
  <c r="F178" i="1"/>
  <c r="BA188" i="1"/>
  <c r="BD22" i="1"/>
  <c r="BD188" i="1"/>
  <c r="F183" i="1"/>
  <c r="AO22" i="1"/>
  <c r="F162" i="1"/>
  <c r="AO188" i="1"/>
  <c r="AL26" i="1"/>
  <c r="Y41" i="1"/>
  <c r="AB128" i="1"/>
  <c r="AC118" i="1"/>
  <c r="P128" i="1"/>
  <c r="CE128" i="1"/>
  <c r="CF128" i="1"/>
  <c r="CH128" i="1"/>
  <c r="U118" i="1"/>
  <c r="F150" i="1"/>
  <c r="AK128" i="1"/>
  <c r="W118" i="1"/>
  <c r="F152" i="1"/>
  <c r="V73" i="1"/>
  <c r="F109" i="1"/>
  <c r="F110" i="1"/>
  <c r="W73" i="1"/>
  <c r="U73" i="1"/>
  <c r="F108" i="1"/>
  <c r="AX118" i="1"/>
  <c r="F135" i="1"/>
  <c r="GO122" i="1"/>
  <c r="Q118" i="1"/>
  <c r="F140" i="1"/>
  <c r="AZ73" i="1"/>
  <c r="F97" i="1"/>
  <c r="S118" i="1"/>
  <c r="F143" i="1"/>
  <c r="AX73" i="1"/>
  <c r="F93" i="1"/>
  <c r="AD73" i="1"/>
  <c r="Q86" i="1"/>
  <c r="V158" i="1"/>
  <c r="AZ26" i="1"/>
  <c r="F52" i="1"/>
  <c r="U158" i="1"/>
  <c r="GM39" i="1"/>
  <c r="GO39" i="1"/>
  <c r="AS22" i="1"/>
  <c r="AS188" i="1"/>
  <c r="F175" i="1"/>
  <c r="E16" i="2" s="1"/>
  <c r="T22" i="1"/>
  <c r="T188" i="1"/>
  <c r="F179" i="1"/>
  <c r="AK41" i="1"/>
  <c r="GP126" i="1"/>
  <c r="CD128" i="1" s="1"/>
  <c r="GM126" i="1"/>
  <c r="BA73" i="1"/>
  <c r="F106" i="1"/>
  <c r="CI118" i="1"/>
  <c r="AZ128" i="1"/>
  <c r="GM121" i="1"/>
  <c r="CA128" i="1" s="1"/>
  <c r="GO121" i="1"/>
  <c r="CC128" i="1" s="1"/>
  <c r="T73" i="1"/>
  <c r="F107" i="1"/>
  <c r="AE118" i="1"/>
  <c r="R128" i="1"/>
  <c r="GP77" i="1"/>
  <c r="GM77" i="1"/>
  <c r="AF73" i="1"/>
  <c r="S86" i="1"/>
  <c r="AL86" i="1"/>
  <c r="CF86" i="1"/>
  <c r="CH86" i="1"/>
  <c r="AC73" i="1"/>
  <c r="P86" i="1"/>
  <c r="CE86" i="1"/>
  <c r="AX26" i="1"/>
  <c r="F48" i="1"/>
  <c r="AX158" i="1"/>
  <c r="BB22" i="1"/>
  <c r="BB188" i="1"/>
  <c r="F171" i="1"/>
  <c r="AQ22" i="1"/>
  <c r="F168" i="1"/>
  <c r="AQ188" i="1"/>
  <c r="GM38" i="1"/>
  <c r="GM29" i="1"/>
  <c r="GO29" i="1"/>
  <c r="GO28" i="1"/>
  <c r="CC41" i="1" s="1"/>
  <c r="GO124" i="1"/>
  <c r="V118" i="1"/>
  <c r="F151" i="1"/>
  <c r="AL118" i="1"/>
  <c r="Y128" i="1"/>
  <c r="BC22" i="1"/>
  <c r="F174" i="1"/>
  <c r="BC188" i="1"/>
  <c r="AF26" i="1"/>
  <c r="S41" i="1"/>
  <c r="AP118" i="1"/>
  <c r="F137" i="1"/>
  <c r="AE73" i="1"/>
  <c r="R86" i="1"/>
  <c r="GP79" i="1"/>
  <c r="GM79" i="1"/>
  <c r="AK86" i="1"/>
  <c r="GP75" i="1"/>
  <c r="GM75" i="1"/>
  <c r="CA86" i="1" s="1"/>
  <c r="AB86" i="1"/>
  <c r="AP158" i="1"/>
  <c r="Q26" i="1"/>
  <c r="F53" i="1"/>
  <c r="Q158" i="1"/>
  <c r="AC26" i="1"/>
  <c r="P41" i="1"/>
  <c r="CF41" i="1"/>
  <c r="CH41" i="1"/>
  <c r="CE41" i="1"/>
  <c r="AE26" i="1"/>
  <c r="R41" i="1"/>
  <c r="AB41" i="1"/>
  <c r="GM28" i="1"/>
  <c r="CA41" i="1" s="1"/>
  <c r="CC118" i="1" l="1"/>
  <c r="AT128" i="1"/>
  <c r="CA118" i="1"/>
  <c r="AR128" i="1"/>
  <c r="AL73" i="1"/>
  <c r="Y86" i="1"/>
  <c r="CD118" i="1"/>
  <c r="AU128" i="1"/>
  <c r="AS18" i="1"/>
  <c r="F205" i="1"/>
  <c r="U22" i="1"/>
  <c r="F180" i="1"/>
  <c r="U188" i="1"/>
  <c r="V22" i="1"/>
  <c r="V188" i="1"/>
  <c r="F181" i="1"/>
  <c r="AB26" i="1"/>
  <c r="O41" i="1"/>
  <c r="CH26" i="1"/>
  <c r="AY41" i="1"/>
  <c r="P26" i="1"/>
  <c r="F44" i="1"/>
  <c r="P158" i="1"/>
  <c r="Q22" i="1"/>
  <c r="F170" i="1"/>
  <c r="Q188" i="1"/>
  <c r="AB73" i="1"/>
  <c r="O86" i="1"/>
  <c r="CD86" i="1"/>
  <c r="R73" i="1"/>
  <c r="F100" i="1"/>
  <c r="Y118" i="1"/>
  <c r="F155" i="1"/>
  <c r="CE73" i="1"/>
  <c r="AV86" i="1"/>
  <c r="CF73" i="1"/>
  <c r="AW86" i="1"/>
  <c r="S73" i="1"/>
  <c r="F101" i="1"/>
  <c r="R118" i="1"/>
  <c r="F142" i="1"/>
  <c r="AZ118" i="1"/>
  <c r="F139" i="1"/>
  <c r="AK26" i="1"/>
  <c r="X41" i="1"/>
  <c r="T18" i="1"/>
  <c r="F209" i="1"/>
  <c r="E18" i="2"/>
  <c r="AZ158" i="1"/>
  <c r="Q73" i="1"/>
  <c r="F98" i="1"/>
  <c r="CH118" i="1"/>
  <c r="AY128" i="1"/>
  <c r="CE118" i="1"/>
  <c r="AV128" i="1"/>
  <c r="Y26" i="1"/>
  <c r="F68" i="1"/>
  <c r="AO18" i="1"/>
  <c r="F192" i="1"/>
  <c r="BD18" i="1"/>
  <c r="F213" i="1"/>
  <c r="BA18" i="1"/>
  <c r="F208" i="1"/>
  <c r="CA26" i="1"/>
  <c r="AR41" i="1"/>
  <c r="R26" i="1"/>
  <c r="F55" i="1"/>
  <c r="R158" i="1"/>
  <c r="CE26" i="1"/>
  <c r="AV41" i="1"/>
  <c r="CF26" i="1"/>
  <c r="AW41" i="1"/>
  <c r="AP22" i="1"/>
  <c r="AP188" i="1"/>
  <c r="F167" i="1"/>
  <c r="G16" i="2" s="1"/>
  <c r="G18" i="2" s="1"/>
  <c r="CA73" i="1"/>
  <c r="AR86" i="1"/>
  <c r="AK73" i="1"/>
  <c r="X86" i="1"/>
  <c r="S26" i="1"/>
  <c r="F56" i="1"/>
  <c r="S158" i="1"/>
  <c r="BC18" i="1"/>
  <c r="F204" i="1"/>
  <c r="CC26" i="1"/>
  <c r="AT41" i="1"/>
  <c r="AQ18" i="1"/>
  <c r="F198" i="1"/>
  <c r="BB18" i="1"/>
  <c r="F201" i="1"/>
  <c r="AX22" i="1"/>
  <c r="AX188" i="1"/>
  <c r="F165" i="1"/>
  <c r="P73" i="1"/>
  <c r="F89" i="1"/>
  <c r="CH73" i="1"/>
  <c r="AY86" i="1"/>
  <c r="AK118" i="1"/>
  <c r="X128" i="1"/>
  <c r="CF118" i="1"/>
  <c r="AW128" i="1"/>
  <c r="P118" i="1"/>
  <c r="F131" i="1"/>
  <c r="AB118" i="1"/>
  <c r="O128" i="1"/>
  <c r="W18" i="1"/>
  <c r="F212" i="1"/>
  <c r="AX18" i="1" l="1"/>
  <c r="F195" i="1"/>
  <c r="AT26" i="1"/>
  <c r="F59" i="1"/>
  <c r="AT158" i="1"/>
  <c r="S22" i="1"/>
  <c r="S188" i="1"/>
  <c r="F173" i="1"/>
  <c r="J16" i="2" s="1"/>
  <c r="J18" i="2" s="1"/>
  <c r="AP18" i="1"/>
  <c r="F197" i="1"/>
  <c r="AW26" i="1"/>
  <c r="F47" i="1"/>
  <c r="AW158" i="1"/>
  <c r="AV26" i="1"/>
  <c r="F46" i="1"/>
  <c r="AV158" i="1"/>
  <c r="R22" i="1"/>
  <c r="F172" i="1"/>
  <c r="R188" i="1"/>
  <c r="AV118" i="1"/>
  <c r="F133" i="1"/>
  <c r="AY118" i="1"/>
  <c r="F136" i="1"/>
  <c r="AZ22" i="1"/>
  <c r="AZ188" i="1"/>
  <c r="F169" i="1"/>
  <c r="F88" i="1"/>
  <c r="O73" i="1"/>
  <c r="Q18" i="1"/>
  <c r="F200" i="1"/>
  <c r="AY26" i="1"/>
  <c r="F49" i="1"/>
  <c r="AY158" i="1"/>
  <c r="O26" i="1"/>
  <c r="F43" i="1"/>
  <c r="O158" i="1"/>
  <c r="AU118" i="1"/>
  <c r="F147" i="1"/>
  <c r="Y73" i="1"/>
  <c r="F113" i="1"/>
  <c r="AR118" i="1"/>
  <c r="F156" i="1"/>
  <c r="AT118" i="1"/>
  <c r="F146" i="1"/>
  <c r="O118" i="1"/>
  <c r="F130" i="1"/>
  <c r="AW118" i="1"/>
  <c r="F134" i="1"/>
  <c r="X118" i="1"/>
  <c r="F154" i="1"/>
  <c r="F94" i="1"/>
  <c r="AY73" i="1"/>
  <c r="X73" i="1"/>
  <c r="F112" i="1"/>
  <c r="AR73" i="1"/>
  <c r="F114" i="1"/>
  <c r="AR26" i="1"/>
  <c r="F69" i="1"/>
  <c r="AR158" i="1"/>
  <c r="Y158" i="1"/>
  <c r="X26" i="1"/>
  <c r="F67" i="1"/>
  <c r="X158" i="1"/>
  <c r="AW73" i="1"/>
  <c r="F92" i="1"/>
  <c r="AV73" i="1"/>
  <c r="F91" i="1"/>
  <c r="CD73" i="1"/>
  <c r="AU86" i="1"/>
  <c r="P22" i="1"/>
  <c r="F161" i="1"/>
  <c r="P188" i="1"/>
  <c r="V18" i="1"/>
  <c r="F211" i="1"/>
  <c r="U18" i="1"/>
  <c r="F210" i="1"/>
  <c r="P18" i="1" l="1"/>
  <c r="F191" i="1"/>
  <c r="Y22" i="1"/>
  <c r="Y188" i="1"/>
  <c r="F185" i="1"/>
  <c r="O22" i="1"/>
  <c r="F160" i="1"/>
  <c r="O188" i="1"/>
  <c r="AV22" i="1"/>
  <c r="AV188" i="1"/>
  <c r="F163" i="1"/>
  <c r="AU73" i="1"/>
  <c r="F105" i="1"/>
  <c r="AU158" i="1"/>
  <c r="X22" i="1"/>
  <c r="F184" i="1"/>
  <c r="X188" i="1"/>
  <c r="AR22" i="1"/>
  <c r="F186" i="1"/>
  <c r="AR188" i="1"/>
  <c r="AY22" i="1"/>
  <c r="F166" i="1"/>
  <c r="AY188" i="1"/>
  <c r="AZ18" i="1"/>
  <c r="F199" i="1"/>
  <c r="R18" i="1"/>
  <c r="F202" i="1"/>
  <c r="AW22" i="1"/>
  <c r="F164" i="1"/>
  <c r="AW188" i="1"/>
  <c r="S18" i="1"/>
  <c r="F203" i="1"/>
  <c r="AT22" i="1"/>
  <c r="F176" i="1"/>
  <c r="F16" i="2" s="1"/>
  <c r="AT188" i="1"/>
  <c r="F18" i="2" l="1"/>
  <c r="AW18" i="1"/>
  <c r="F194" i="1"/>
  <c r="AR18" i="1"/>
  <c r="F216" i="1"/>
  <c r="F217" i="1" s="1"/>
  <c r="AU22" i="1"/>
  <c r="F177" i="1"/>
  <c r="H16" i="2" s="1"/>
  <c r="H18" i="2" s="1"/>
  <c r="AU188" i="1"/>
  <c r="AV18" i="1"/>
  <c r="F193" i="1"/>
  <c r="O18" i="1"/>
  <c r="F190" i="1"/>
  <c r="Y18" i="1"/>
  <c r="F215" i="1"/>
  <c r="AT18" i="1"/>
  <c r="F206" i="1"/>
  <c r="AY18" i="1"/>
  <c r="F196" i="1"/>
  <c r="X18" i="1"/>
  <c r="F214" i="1"/>
  <c r="F218" i="1" l="1"/>
  <c r="F219" i="1" s="1"/>
  <c r="I16" i="2"/>
  <c r="I18" i="2" s="1"/>
  <c r="AU18" i="1"/>
  <c r="F207" i="1"/>
</calcChain>
</file>

<file path=xl/sharedStrings.xml><?xml version="1.0" encoding="utf-8"?>
<sst xmlns="http://schemas.openxmlformats.org/spreadsheetml/2006/main" count="2505" uniqueCount="349">
  <si>
    <t>Smeta.RU  (495) 974-1589</t>
  </si>
  <si>
    <t>_PS_</t>
  </si>
  <si>
    <t>Smeta.RU</t>
  </si>
  <si>
    <t/>
  </si>
  <si>
    <t>ТП-521. Замена оборудования- РУ-0,4 кВ - Корректировка</t>
  </si>
  <si>
    <t>Алиева И.Е.</t>
  </si>
  <si>
    <t>Зам.начальника ПТО</t>
  </si>
  <si>
    <t>Алексеев Е.В.</t>
  </si>
  <si>
    <t>Главный инженер</t>
  </si>
  <si>
    <t>А.П. Воробьева</t>
  </si>
  <si>
    <t>Директор</t>
  </si>
  <si>
    <t>МУП "Троицкая электросеть"</t>
  </si>
  <si>
    <t>МУП "Троицкая электросеть", г. Москва, г. Троицк, ул. Лесная, д. 6.</t>
  </si>
  <si>
    <t>Сметные нормы списания</t>
  </si>
  <si>
    <t>Коды ОКП для ТСН-2001</t>
  </si>
  <si>
    <t>ТСН-2001 Ремонт</t>
  </si>
  <si>
    <t>Типовой расчет для ТСН-2001 МЦЦС, Новая методика с выпуска доп. 43 (Ремонт), Доп 57</t>
  </si>
  <si>
    <t>ТСН-2001</t>
  </si>
  <si>
    <t>Поправки для ТСН-2001 от 06.05.2019 г.</t>
  </si>
  <si>
    <t>Новая локальная смета</t>
  </si>
  <si>
    <t>ТП-521. Реконструкция. Замена 8 панелей в РУ-0,4 кВ.</t>
  </si>
  <si>
    <t>Новый раздел</t>
  </si>
  <si>
    <t>Электромонтажные работы.</t>
  </si>
  <si>
    <t>1</t>
  </si>
  <si>
    <t>4.8-64-3</t>
  </si>
  <si>
    <t>КОНСТРУКЦИИ МЕТАЛЛИЧЕСКИЕ ПОД ОБОРУДОВАНИЕ, КОНСТРУКЦИЯ МЕТАЛЛИЧЕСКАЯ</t>
  </si>
  <si>
    <t>т</t>
  </si>
  <si>
    <t>ТСН-2001.4. База. Сб.8, т.64, поз.3</t>
  </si>
  <si>
    <t>)*1,2</t>
  </si>
  <si>
    <t>Монтаж оборудования</t>
  </si>
  <si>
    <t>ТСН-2001.4-8. 8-28...8-72</t>
  </si>
  <si>
    <t>ТСН-2001.4-8-2</t>
  </si>
  <si>
    <t>Поправка: ТСН-2001.4. О.П. тб1. п.1</t>
  </si>
  <si>
    <t>2</t>
  </si>
  <si>
    <t>4.8-239-7</t>
  </si>
  <si>
    <t>БЛОКИ УПРАВЛЕНИЯ И РАСПРЕДЕЛИТЕЛЬНЫЕ ПУНКТЫ (ШКАФЫ) ВЫСОТОЙ ДО 1700 ММ, БЛОК УПРАВЛЕНИЯ ШКАФНОГО ИСПОЛНЕНИЯ ИЛИ РАСПРЕДЕЛИТЕЛЬНЫЙ ПУНКТ (ШКАФ), УСТАНАВЛИВАЕМЫЙ НА ПОЛУ, ВЫСОТА И ШИРИНА 1700Х1100 ММ</t>
  </si>
  <si>
    <t>шт.</t>
  </si>
  <si>
    <t>ТСН-2001.4. База. Сб.8, т.239, поз.7</t>
  </si>
  <si>
    <t>ТСН-2001.4-8. 8-188...8-272</t>
  </si>
  <si>
    <t>ТСН-2001.4-8-18</t>
  </si>
  <si>
    <t>3</t>
  </si>
  <si>
    <t>ДЕМОНТАЖ - БЛОКИ УПРАВЛЕНИЯ И РАСПРЕДЕЛИТЕЛЬНЫЕ ПУНКТЫ (ШКАФЫ) ВЫСОТОЙ ДО 1700 ММ, БЛОК УПРАВЛЕНИЯ ШКАФНОГО ИСПОЛНЕНИЯ ИЛИ РАСПРЕДЕЛИТЕЛЬНЫЙ ПУНКТ (ШКАФ), УСТАНАВЛИВАЕМЫЙ НА ПОЛУ, ВЫСОТА И ШИРИНА 1700Х1100 ММ</t>
  </si>
  <si>
    <t>)*0</t>
  </si>
  <si>
    <t>)*0,5)*1,2</t>
  </si>
  <si>
    <t>Поправка: ТСН-2001.4. О.П. п.6.1.1.1  Поправка: ТСН-2001.4. О.П. тб1. п.1</t>
  </si>
  <si>
    <t>4</t>
  </si>
  <si>
    <t>4.8-47-2</t>
  </si>
  <si>
    <t>ШИНЫ СБОРНЫЕ - ОДНА ПОЛОСА В ФАЗЕ, ШИНА, СЕЧЕНИЕ: ДО 500 ММ2</t>
  </si>
  <si>
    <t>100 м</t>
  </si>
  <si>
    <t>ТСН-2001.4. База. Сб.8, т.47, поз.2</t>
  </si>
  <si>
    <t>5</t>
  </si>
  <si>
    <t>4.8-79-3</t>
  </si>
  <si>
    <t>КАБЕЛИ ДО 35 КВ, ПРОКЛАДЫВАЕМЫЕ ПО УСТАНОВЛЕННЫМ КОНСТРУКЦИЯМ И ЛОТКАМ, КАБЕЛЬ С КРЕПЛЕНИЕМ НА ПОВОРОТАХ И В КОНЦЕ ТРАССЫ, МАССА 1 М: ДО 3 КГ</t>
  </si>
  <si>
    <t>ТСН-2001.4. База. Сб.8, т.79, поз.3</t>
  </si>
  <si>
    <t>ТСН-2001.4-8. 8-73...8-80</t>
  </si>
  <si>
    <t>ТСН-2001.4-8-3</t>
  </si>
  <si>
    <t>6</t>
  </si>
  <si>
    <t>ДЕМОНТАЖ - КАБЕЛИ ДО 35 КВ, ПРОКЛАДЫВАЕМЫЕ ПО УСТАНОВЛЕННЫМ КОНСТРУКЦИЯМ И ЛОТКАМ, КАБЕЛЬ С КРЕПЛЕНИЕМ НА ПОВОРОТАХ И В КОНЦЕ ТРАССЫ, МАССА 1 М: ДО 3 КГ</t>
  </si>
  <si>
    <t>)*0,4)*1,2</t>
  </si>
  <si>
    <t>Поправка: ТСН-2001.4. О.П. п.6.1.1.2  Поправка: ТСН-2001.4. О.П. тб1. п.1</t>
  </si>
  <si>
    <t>7</t>
  </si>
  <si>
    <t>4.8-79-4</t>
  </si>
  <si>
    <t>КАБЕЛИ ДО 35 КВ, ПРОКЛАДЫВАЕМЫЕ ПО УСТАНОВЛЕННЫМ КОНСТРУКЦИЯМ И ЛОТКАМ, КАБЕЛЬ С КРЕПЛЕНИЕМ НА ПОВОРОТАХ И В КОНЦЕ ТРАССЫ, МАССА 1 М: ДО 6 КГ</t>
  </si>
  <si>
    <t>ТСН-2001.4. База. Сб.8, т.79, поз.4</t>
  </si>
  <si>
    <t>8</t>
  </si>
  <si>
    <t>ДЕМОНТАЖ - КАБЕЛИ ДО 35 КВ, ПРОКЛАДЫВАЕМЫЕ ПО УСТАНОВЛЕННЫМ КОНСТРУКЦИЯМ И ЛОТКАМ, КАБЕЛЬ С КРЕПЛЕНИЕМ НА ПОВОРОТАХ И В КОНЦЕ ТРАССЫ, МАССА 1 М: ДО 6 КГ</t>
  </si>
  <si>
    <t>9</t>
  </si>
  <si>
    <t>4.8-78-1</t>
  </si>
  <si>
    <t>КАБЕЛИ ДО 35 КВ, ПРОКЛАДЫВАЕМЫЕ С КРЕПЛЕНИЕМ НАКЛАДНЫМИ СКОБАМИ, КАБЕЛЬ, МАССА 1 М: ДО 0,5 КГ (Контрольные)</t>
  </si>
  <si>
    <t>ТСН-2001.4. База. Сб.8, т.78, поз.1</t>
  </si>
  <si>
    <t>10</t>
  </si>
  <si>
    <t>4.8-76-1</t>
  </si>
  <si>
    <t>ПРИСОЕДИНЕНИЕ К ЗАЖИМАМ ЖИЛ ПРОВОДОВ ИЛИ КАБЕЛЕЙ, ПРОВОД ИЛИ КАБЕЛЬ, СЕЧЕНИЕ: ДО 2,5 ММ2</t>
  </si>
  <si>
    <t>100 шт.</t>
  </si>
  <si>
    <t>ТСН-2001.4. База. Сб.8, т.76, поз.1</t>
  </si>
  <si>
    <t>11</t>
  </si>
  <si>
    <t>4.8-316-1</t>
  </si>
  <si>
    <t>МУФТЫ КОНЦЕВЫЕ ТЕРМОУСАЖИВАЕМЫЕ ДЛЯ 5-ТИ ЖИЛЬНОГО КАБЕЛЯ С ПЛАСТМАССОВОЙ, РЕЗИНОВОЙ И БУМАЖНОЙ ИЗОЛЯЦИЕЙ, НАПРЯЖЕНИЕМ ДО 1 КВ, СЕЧЕНИЕ ОДНОЙ ЖИЛЫ ОТ 70 ДО 120 ММ2</t>
  </si>
  <si>
    <t>ТСН-2001.4. Доп.55. Сб.8, т.316, поз.1</t>
  </si>
  <si>
    <t>ТСН-2001.4-8. 8-291...292 (доп. 24)</t>
  </si>
  <si>
    <t>ТСН-2001.4-8-29</t>
  </si>
  <si>
    <t>12</t>
  </si>
  <si>
    <t>4.8-98-4</t>
  </si>
  <si>
    <t>МУФТЫ СОЕДИНИТЕЛЬНЫЕ ЭПОКСИДНЫЕ, МУФТА ДЛЯ КАБЕЛЯ, НАПРЯЖЕНИЕ ДО 1 КВ, СЕЧЕНИЕ: ДО 185 ММ2</t>
  </si>
  <si>
    <t>ТСН-2001.4. База. Сб.8, т.98, поз.4</t>
  </si>
  <si>
    <t>ТСН-2001.4-8. 8-97, 8-98</t>
  </si>
  <si>
    <t>ТСН-2001.4-8-8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</si>
  <si>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</si>
  <si>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</si>
  <si>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</si>
  <si>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</si>
  <si>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</si>
  <si>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</si>
  <si>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</si>
  <si>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</si>
  <si>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</si>
  <si>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</si>
  <si>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</si>
  <si>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</si>
  <si>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</si>
  <si>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</si>
  <si>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</si>
  <si>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</si>
  <si>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</si>
  <si>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</si>
  <si>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</si>
  <si>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</si>
  <si>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</si>
  <si>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</si>
  <si>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</si>
  <si>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</si>
  <si>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</si>
  <si>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</si>
  <si>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</si>
  <si>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</si>
  <si>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</si>
  <si>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</si>
  <si>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</si>
  <si>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</si>
  <si>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</si>
  <si>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</si>
  <si>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</si>
  <si>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</si>
  <si>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</si>
  <si>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</si>
  <si>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</si>
  <si>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</si>
  <si>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</si>
  <si>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</si>
  <si>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</si>
  <si>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</si>
  <si>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</si>
  <si>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</si>
  <si>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</si>
  <si>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</si>
  <si>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</si>
  <si>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</si>
  <si>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</si>
  <si>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</si>
  <si>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</si>
  <si>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</si>
  <si>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Пусконаладочные работы.</t>
  </si>
  <si>
    <t>13</t>
  </si>
  <si>
    <t>5.1-23-1</t>
  </si>
  <si>
    <t>РАЗЪЕДИНИТЕЛЬ ТРЕХПОЛЮСНЫЙ НАПРЯЖЕНИЕМ КВ, ДО: 20</t>
  </si>
  <si>
    <t>ТСН-2001.5. База. Сб.1, т.23, поз.1</t>
  </si>
  <si>
    <t>Поправка: ТСН-2001.5. р2. тб1. п. 5  Наименование: В электроустановках, находящихся под напряжением: с оформлением наряда-допуска</t>
  </si>
  <si>
    <t>)*1,3</t>
  </si>
  <si>
    <t>Пусконаладочные работы</t>
  </si>
  <si>
    <t>ТСН-2001.5-1. 1-1...1-189</t>
  </si>
  <si>
    <t>ТСН-2001.5-1-1</t>
  </si>
  <si>
    <t>Поправка: ТСН-2001.5. р2. тб1. п. 5</t>
  </si>
  <si>
    <t>14</t>
  </si>
  <si>
    <t>5.1-20-7</t>
  </si>
  <si>
    <t>ВЫКЛЮЧАТЕЛЬ ТРЕХПОЛЮСНЫЙ: С ЭЛЕКТРОМАГНИТНЫМ, ТЕПЛОВЫМ ИЛИ КОМБИНИРОВАННЫМ РАСЦЕПИТЕЛЕМ, НОМИНАЛЬНЫЙ ТОК А, ДО 1000</t>
  </si>
  <si>
    <t>ТСН-2001.5. База. Сб.1, т.20, поз.7</t>
  </si>
  <si>
    <t>15</t>
  </si>
  <si>
    <t>5.1-168-1</t>
  </si>
  <si>
    <t>ШИНЫ НАПРЯЖЕНИЕМ ДО 11 КВ</t>
  </si>
  <si>
    <t>испытание</t>
  </si>
  <si>
    <t>ТСН-2001.5. База. Сб.1, т.168, поз.1</t>
  </si>
  <si>
    <t>16</t>
  </si>
  <si>
    <t>5.1-141-2</t>
  </si>
  <si>
    <t>ФУНКЦИОНАЛЬНАЯ ГРУППА УПРАВЛЕНИЯ РЕЛЕЙНО-КОНТАКТНАЯ С ОБЩИМ ЧИСЛОМ ВНЕШНИХ БЛОКИРОВОЧНЫХ СВЯЗЕЙ ДО 5</t>
  </si>
  <si>
    <t>ТСН-2001.5. База. Сб.1, т.141, поз.2</t>
  </si>
  <si>
    <t>17</t>
  </si>
  <si>
    <t>5.1-152-1</t>
  </si>
  <si>
    <t>ПРОВЕРКА НАЛИЧИЯ ЦЕПИ МЕЖДУ ЗАЗЕМЛИТЕЛЯМИ И ЗАЗЕМЛЕННЫМИ ЭЛЕМЕНТАМИ</t>
  </si>
  <si>
    <t>точка</t>
  </si>
  <si>
    <t>ТСН-2001.5. База. Сб.1, т.152, поз.1</t>
  </si>
  <si>
    <t>18</t>
  </si>
  <si>
    <t>5.1-154-1</t>
  </si>
  <si>
    <t>ЗАМЕР ПОЛНОГО СОПРОТИВЛЕНИЯ ЦЕПИ "ФАЗА-НУЛЬ"</t>
  </si>
  <si>
    <t>токоприемник</t>
  </si>
  <si>
    <t>ТСН-2001.5. База. Сб.1, т.154, поз.1</t>
  </si>
  <si>
    <t>19</t>
  </si>
  <si>
    <t>5.1-158-1</t>
  </si>
  <si>
    <t>ФАЗИРОВКА ЭЛЕКТРИЧЕСКОЙ ЛИНИИ ИЛИ ТРАНСФОРМАТОРА С СЕТЬЮ НАПРЯЖЕНИЕМ ДО 1 КВ</t>
  </si>
  <si>
    <t>фазировка</t>
  </si>
  <si>
    <t>ТСН-2001.5. База. Сб.1, т.158, поз.1</t>
  </si>
  <si>
    <t>20</t>
  </si>
  <si>
    <t>5.1-162-1</t>
  </si>
  <si>
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 И КОММУТАЦИОННЫМ АППАРАТАМ</t>
  </si>
  <si>
    <t>измерение</t>
  </si>
  <si>
    <t>ТСН-2001.5. База. Сб.1, т.162, поз.1</t>
  </si>
  <si>
    <t>21</t>
  </si>
  <si>
    <t>5.1-162-2</t>
  </si>
  <si>
    <t>ИЗМЕРЕНИЕ СОПРОТИВЛЕНИЯ ИЗОЛЯЦИИ МЕГАОММЕТРОМ ОБМОТОК МАШИН И АППАРАТОВ</t>
  </si>
  <si>
    <t>ТСН-2001.5. База. Сб.1, т.162, поз.2</t>
  </si>
  <si>
    <t>22</t>
  </si>
  <si>
    <t>5.1-156-5</t>
  </si>
  <si>
    <t>ИЗМЕРЕНИЕ АКТИВНОГО, ИНДУКТИВНОГО СОПРОТИВЛЕНИЯ И ЕМКОСТИ ЭЛЕКТРИЧЕСКИХ МАШИН И АППАРАТОВ</t>
  </si>
  <si>
    <t>ТСН-2001.5. База. Сб.1, т.156, поз.5</t>
  </si>
  <si>
    <t>Материалы, не учтенные ценником и оборудование.</t>
  </si>
  <si>
    <t>23</t>
  </si>
  <si>
    <t>1.23-1-4</t>
  </si>
  <si>
    <t>КАБЕЛИ КОНТРОЛЬНЫЕ С АЛЮМИНИЕВЫМИ ЖИЛАМИ С ПОЛИВИНИЛХЛОРИДНОЙ ИЗОЛЯЦИЕЙ, МАРКА АКВББШВ, ЧИСЛО ЖИЛ И СЕЧЕНИЕ 10Х2,5 ММ2</t>
  </si>
  <si>
    <t>км</t>
  </si>
  <si>
    <t>ТСН-2001.1. База. Р.23, о.1, поз.4</t>
  </si>
  <si>
    <t>Материалы монтажные</t>
  </si>
  <si>
    <t>ТСН-2001.1 Материалы монтажные</t>
  </si>
  <si>
    <t>ТСН-2001.1-2</t>
  </si>
  <si>
    <t>24</t>
  </si>
  <si>
    <t>1.23-7-217</t>
  </si>
  <si>
    <t>КАБЕЛИ СИЛОВЫЕ С ПОЛИВИНИЛХЛОРИДНОЙ ИЗОЛЯЦИЕЙ, БРОНИРОВАННЫЕ СТАЛЬНЫМИ ЛЕНТАМИ, В ШЛАНГЕ ИЗ ПОЛИВИНИЛХЛОРИДНОГО ПЛАСТИКАТА, МАРКА АВББШВ, НАПРЯЖЕНИЕ 1000 В, ЧИСЛО ЖИЛ И СЕЧЕНИЕ 4Х120 ММ2</t>
  </si>
  <si>
    <t>ТСН-2001.1. База. Р.23, о.7, поз.217</t>
  </si>
  <si>
    <t>25</t>
  </si>
  <si>
    <t>1.21-5-281</t>
  </si>
  <si>
    <t>МУФТЫ КОНЦЕВЫЕ ТЕРМОУСАЖИВАЕМЫЕ ВНУТРЕННЕЙ УСТАНОВКИ ДЛЯ СИЛОВЫХ КАБЕЛЕЙ НА НАПРЯЖЕНИЕ 1 КВ, БЕЗ НАКОНЕЧНИКОВ, ТИП 4КВТП-1-120, СЕЧЕНИЕ ЖИЛ 70-120 ММ2</t>
  </si>
  <si>
    <t>компл.</t>
  </si>
  <si>
    <t>ТСН-2001.1. База. Р.21, о.5, поз.281</t>
  </si>
  <si>
    <t>26</t>
  </si>
  <si>
    <t>1.21-5-251</t>
  </si>
  <si>
    <t>МУФТЫ СОЕДИНИТЕЛЬНЫЕ ТЕРМОУСАЖИВАЕМЫЕ ДЛЯ СОЕДИНЕНИЯ СИЛОВЫХ КАБЕЛЕЙ НА НАПРЯЖЕНИЕ 1 КВ, БЕЗ СОЕДИНИТЕЛЕЙ, ТИП 3СТП 1-240, СЕЧЕНИЕ ЖИЛ 150-240 ММ2</t>
  </si>
  <si>
    <t>ТСН-2001.1. База. Р.21, о.5, поз.251</t>
  </si>
  <si>
    <t>27</t>
  </si>
  <si>
    <t>1.23-7-219</t>
  </si>
  <si>
    <t>КАБЕЛИ СИЛОВЫЕ С ПОЛИВИНИЛХЛОРИДНОЙ ИЗОЛЯЦИЕЙ, БРОНИРОВАННЫЕ СТАЛЬНЫМИ ЛЕНТАМИ, В ШЛАНГЕ ИЗ ПОЛИВИНИЛХЛОРИДНОГО ПЛАСТИКАТА, МАРКА АВББШВ, НАПРЯЖЕНИЕ 1000 В, ЧИСЛО ЖИЛ И СЕЧЕНИЕ 4Х185 ММ2</t>
  </si>
  <si>
    <t>ТСН-2001.1. База. Р.23, о.7, поз.219</t>
  </si>
  <si>
    <t>28</t>
  </si>
  <si>
    <t>1.23-16-1</t>
  </si>
  <si>
    <t>ШИНЫ АЛЮМИНИЕВЫЕ ПРЯМОУГОЛЬНОГО СЕЧЕНИЯ</t>
  </si>
  <si>
    <t>ТСН-2001.1. База. Р.23, о.16, поз.1</t>
  </si>
  <si>
    <t>29</t>
  </si>
  <si>
    <t>Панели ЩО-70 (8 панелей)  Примечание: ЩО-70-1-54 - 2шт.; ЩО-70-1-76 - 1шт.; ЩО-70-1-05 - 5шт.</t>
  </si>
  <si>
    <t>КОМПЛЕКТ</t>
  </si>
  <si>
    <t>Прочие работы</t>
  </si>
  <si>
    <t>МЦЦС</t>
  </si>
  <si>
    <t>Итого</t>
  </si>
  <si>
    <t>НДС</t>
  </si>
  <si>
    <t>НДС 20%</t>
  </si>
  <si>
    <t>Итого с НДС</t>
  </si>
  <si>
    <t>Уровень цен</t>
  </si>
  <si>
    <t>Индекс 1</t>
  </si>
  <si>
    <t>ТСН-2001 МЦЦС  ремонт</t>
  </si>
  <si>
    <t>171</t>
  </si>
  <si>
    <t>_OBSM_</t>
  </si>
  <si>
    <t>9999990008</t>
  </si>
  <si>
    <t>ТРУДОЗАТРАТЫ РАБОЧИХ (ЭСН)</t>
  </si>
  <si>
    <t>чел.-ч.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</si>
  <si>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</si>
  <si>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Поправка: ТСН-2001.4. О.П. п.6.1.1.1  Наименование: Демонтаж оборудования, предназначенного для дальнейшего использования, с укладкой деталей оборудования в ящики, со смазкой антикоррозионным слоем и составлением упаковочных спецификаций  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</si>
  <si>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Поправка: ТСН-2001.4. О.П. п.6.1.1.2  Наименование: Демонтаж оборудования, предназначенного для дальнейшего использования, без консервации и упаковки  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</si>
  <si>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"СОГЛАСОВАНО"</t>
  </si>
  <si>
    <t>"УТВЕРЖДАЮ"</t>
  </si>
  <si>
    <t>Форма № 1б</t>
  </si>
  <si>
    <t>"_____"________________ 2021 г.</t>
  </si>
  <si>
    <t>Директор МУП "Троицкая электросеть"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</si>
  <si>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</si>
  <si>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</si>
  <si>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</si>
  <si>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</si>
  <si>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</si>
  <si>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Строительные работы</t>
  </si>
  <si>
    <t>Монтажные работы</t>
  </si>
  <si>
    <t>Оборудование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</si>
  <si>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</si>
  <si>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</si>
  <si>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</si>
  <si>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</si>
  <si>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</si>
  <si>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</si>
  <si>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
единиц</t>
  </si>
  <si>
    <t>Цена на
ед. изм.,
руб.</t>
  </si>
  <si>
    <t>Попра-
вочные
коэфф.</t>
  </si>
  <si>
    <t>Коэфф.
зимних
удоро-
жаний</t>
  </si>
  <si>
    <t>ВСЕГО в
базисном
уровне цен,
руб.</t>
  </si>
  <si>
    <t>Коэфф.
пере-
счета и
нормы
НР и СП</t>
  </si>
  <si>
    <t>Всего в
текущем
уровне цен,
руб.</t>
  </si>
  <si>
    <t>Составлен(а) в уровне текущих (прогнозных) цен ТСН-2001 МЦЦС  ремонт №171 декабрь 2020 года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</si>
  <si>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</si>
  <si>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</si>
  <si>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</si>
  <si>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</si>
  <si>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</si>
  <si>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</si>
  <si>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</si>
  <si>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</si>
  <si>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</si>
  <si>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</si>
  <si>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 xml:space="preserve">   Итого по ТСН-2001.16</t>
  </si>
  <si>
    <t xml:space="preserve">   Итого возвратных сумм</t>
  </si>
  <si>
    <t xml:space="preserve"> тыс.руб.</t>
  </si>
  <si>
    <t xml:space="preserve">Составил   </t>
  </si>
  <si>
    <t>[должность,подпись(инициалы,фамилия)]</t>
  </si>
  <si>
    <t xml:space="preserve">Проверил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</si>
  <si>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</si>
  <si>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</si>
  <si>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</si>
  <si>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</si>
  <si>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</si>
  <si>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</si>
  <si>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</si>
  <si>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</si>
  <si>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</si>
  <si>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</si>
  <si>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</si>
  <si>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</si>
  <si>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</si>
  <si>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</si>
  <si>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</si>
  <si>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</si>
  <si>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</si>
  <si>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</si>
  <si>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</si>
  <si>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</si>
  <si>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
документа</t>
  </si>
  <si>
    <t>Дата
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</si>
  <si>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</si>
  <si>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</si>
  <si>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</si>
  <si>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</si>
  <si>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</si>
  <si>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</si>
  <si>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</si>
  <si>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</si>
  <si>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п/п</t>
  </si>
  <si>
    <t>поз. по сме-те</t>
  </si>
  <si>
    <t xml:space="preserve">Сдал   </t>
  </si>
  <si>
    <t xml:space="preserve">Принял   </t>
  </si>
  <si>
    <t>Унифицированная форма № КС-3</t>
  </si>
  <si>
    <t>Коды</t>
  </si>
  <si>
    <t xml:space="preserve">Инвестор </t>
  </si>
  <si>
    <t xml:space="preserve">Заказчик (генподрядчик) </t>
  </si>
  <si>
    <t xml:space="preserve">Подрядчик (субподрядчик) </t>
  </si>
  <si>
    <t xml:space="preserve">Стройка </t>
  </si>
  <si>
    <t>Вид деятельности  по ОКДП</t>
  </si>
  <si>
    <t xml:space="preserve">Договор подряда (контракт) </t>
  </si>
  <si>
    <t>Вид операции</t>
  </si>
  <si>
    <t>Номер документа</t>
  </si>
  <si>
    <t>Дата составления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</si>
  <si>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</si>
  <si>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</si>
  <si>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</si>
  <si>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</si>
  <si>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</si>
  <si>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</si>
  <si>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</si>
  <si>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</si>
  <si>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</si>
  <si>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</si>
  <si>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</si>
  <si>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</si>
  <si>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</si>
  <si>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</si>
  <si>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</si>
  <si>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</si>
  <si>
    <t xml:space="preserve">ТП-521. Замена оборудования- РУ-0,4 кВ </t>
  </si>
  <si>
    <t>Накладные №12 от 18.07.2019,  №10 от 10.08.2018.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</si>
</sst>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19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5" xfId="0" applyBorder="1"/>
    <xf numFmtId="0" fontId="9" fillId="0" borderId="0" xfId="0" applyFont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11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4" fontId="11" fillId="0" borderId="0" xfId="0" applyNumberFormat="1" applyFont="1"/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164" fontId="17" fillId="0" borderId="5" xfId="0" applyNumberFormat="1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/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3" xfId="0" quotePrefix="1" applyFont="1" applyBorder="1" applyAlignment="1">
      <alignment horizontal="center"/>
    </xf>
    <xf numFmtId="0" fontId="11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 shrinkToFit="1"/>
    </xf>
    <xf numFmtId="0" fontId="11" fillId="0" borderId="8" xfId="0" applyFont="1" applyBorder="1" applyAlignment="1">
      <alignment horizontal="justify" vertical="top" wrapText="1" shrinkToFit="1"/>
    </xf>
    <xf numFmtId="0" fontId="11" fillId="0" borderId="15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 wrapText="1" shrinkToFit="1"/>
    </xf>
    <xf numFmtId="164" fontId="11" fillId="0" borderId="7" xfId="0" applyNumberFormat="1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vertical="center" wrapText="1" shrinkToFit="1"/>
    </xf>
    <xf numFmtId="164" fontId="11" fillId="0" borderId="8" xfId="0" applyNumberFormat="1" applyFont="1" applyBorder="1" applyAlignment="1">
      <alignment horizontal="right" vertical="center" wrapText="1" shrinkToFit="1"/>
    </xf>
    <xf numFmtId="0" fontId="11" fillId="0" borderId="16" xfId="0" applyFont="1" applyBorder="1" applyAlignment="1">
      <alignment horizontal="right" vertical="center" wrapText="1" shrinkToFit="1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justify" vertical="top" wrapText="1" shrinkToFit="1"/>
    </xf>
    <xf numFmtId="164" fontId="11" fillId="0" borderId="7" xfId="0" applyNumberFormat="1" applyFont="1" applyBorder="1" applyAlignment="1">
      <alignment horizontal="right" wrapText="1" shrinkToFit="1"/>
    </xf>
    <xf numFmtId="0" fontId="11" fillId="0" borderId="2" xfId="0" applyFont="1" applyBorder="1" applyAlignment="1">
      <alignment horizontal="right" wrapText="1" shrinkToFit="1"/>
    </xf>
    <xf numFmtId="0" fontId="11" fillId="0" borderId="9" xfId="0" applyFont="1" applyBorder="1" applyAlignment="1">
      <alignment horizontal="right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14" fontId="11" fillId="0" borderId="7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16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right"/>
    </xf>
    <xf numFmtId="0" fontId="11" fillId="0" borderId="1" xfId="0" applyFont="1" applyBorder="1"/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164" fontId="17" fillId="0" borderId="0" xfId="0" applyNumberFormat="1" applyFont="1"/>
    <xf numFmtId="0" fontId="9" fillId="0" borderId="0" xfId="0" applyFont="1"/>
    <xf numFmtId="0" fontId="18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64"/>
  <sheetViews>
    <sheetView tabSelected="1" topLeftCell="A239" zoomScaleNormal="100" workbookViewId="0">
      <selection activeCell="D262" sqref="D262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4" width="11.7109375" customWidth="1"/>
    <col min="5" max="5" width="8.140625" bestFit="1" customWidth="1"/>
    <col min="6" max="6" width="13.140625" bestFit="1" customWidth="1"/>
    <col min="7" max="7" width="8.7109375" bestFit="1" customWidth="1"/>
    <col min="8" max="8" width="8.28515625" bestFit="1" customWidth="1"/>
    <col min="9" max="9" width="13.140625" bestFit="1" customWidth="1"/>
    <col min="10" max="10" width="9.140625" bestFit="1" customWidth="1"/>
    <col min="11" max="11" width="13.140625" bestFit="1" customWidth="1"/>
    <col min="14" max="36" width="0" hidden="1" customWidth="1"/>
    <col min="37" max="37" width="129.7109375" hidden="1" customWidth="1"/>
    <col min="38" max="38" width="96" hidden="1" customWidth="1"/>
    <col min="39" max="42" width="0" hidden="1" customWidth="1"/>
  </cols>
  <sheetData>
    <row r="1" spans="1:11" x14ac:dyDescent="0.2">
      <c r="A1" s="9" t="str">
        <f>Source!B1</f>
        <v>Smeta.RU  (495) 974-1589</v>
      </c>
    </row>
    <row r="2" spans="1:11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65" t="s">
        <v>245</v>
      </c>
      <c r="K2" s="65"/>
    </row>
    <row r="3" spans="1:11" ht="16.5" x14ac:dyDescent="0.25">
      <c r="A3" s="12"/>
      <c r="B3" s="68" t="s">
        <v>243</v>
      </c>
      <c r="C3" s="68"/>
      <c r="D3" s="68"/>
      <c r="E3" s="68"/>
      <c r="F3" s="11"/>
      <c r="G3" s="68" t="s">
        <v>244</v>
      </c>
      <c r="H3" s="68"/>
      <c r="I3" s="68"/>
      <c r="J3" s="68"/>
      <c r="K3" s="68"/>
    </row>
    <row r="4" spans="1:11" ht="14.25" x14ac:dyDescent="0.2">
      <c r="A4" s="11"/>
      <c r="B4" s="50"/>
      <c r="C4" s="50"/>
      <c r="D4" s="50"/>
      <c r="E4" s="50"/>
      <c r="F4" s="11"/>
      <c r="G4" s="50" t="s">
        <v>247</v>
      </c>
      <c r="H4" s="50"/>
      <c r="I4" s="50"/>
      <c r="J4" s="50"/>
      <c r="K4" s="50"/>
    </row>
    <row r="5" spans="1:11" ht="14.25" x14ac:dyDescent="0.2">
      <c r="A5" s="13"/>
      <c r="B5" s="13"/>
      <c r="C5" s="14"/>
      <c r="D5" s="14"/>
      <c r="E5" s="14"/>
      <c r="F5" s="11"/>
      <c r="G5" s="15"/>
      <c r="H5" s="14"/>
      <c r="I5" s="14"/>
      <c r="J5" s="14"/>
      <c r="K5" s="15"/>
    </row>
    <row r="6" spans="1:11" ht="14.25" x14ac:dyDescent="0.2">
      <c r="A6" s="15"/>
      <c r="B6" s="50" t="str">
        <f>CONCATENATE("______________________ ", IF(Source!AL12&lt;&gt;"", Source!AL12, ""))</f>
        <v xml:space="preserve">______________________ </v>
      </c>
      <c r="C6" s="50"/>
      <c r="D6" s="50"/>
      <c r="E6" s="50"/>
      <c r="F6" s="11"/>
      <c r="G6" s="50" t="str">
        <f>CONCATENATE("______________________ ", IF(Source!AH12&lt;&gt;"", Source!AH12, ""))</f>
        <v>______________________ А.П. Воробьева</v>
      </c>
      <c r="H6" s="50"/>
      <c r="I6" s="50"/>
      <c r="J6" s="50"/>
      <c r="K6" s="50"/>
    </row>
    <row r="7" spans="1:11" ht="22.5" customHeight="1" x14ac:dyDescent="0.2">
      <c r="A7" s="16"/>
      <c r="B7" s="64" t="s">
        <v>246</v>
      </c>
      <c r="C7" s="64"/>
      <c r="D7" s="64"/>
      <c r="E7" s="64"/>
      <c r="F7" s="11"/>
      <c r="G7" s="64" t="s">
        <v>246</v>
      </c>
      <c r="H7" s="64"/>
      <c r="I7" s="64"/>
      <c r="J7" s="64"/>
      <c r="K7" s="64"/>
    </row>
    <row r="9" spans="1:11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.75" x14ac:dyDescent="0.25">
      <c r="A11" s="66" t="str">
        <f>CONCATENATE( "ЛОКАЛЬНАЯ СМЕТА.  ",IF(Source!F12&lt;&gt;"Новый объект", Source!F12, ""))</f>
        <v xml:space="preserve">ЛОКАЛЬНАЯ СМЕТА.  ТП-521. Замена оборудования- РУ-0,4 кВ 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x14ac:dyDescent="0.2">
      <c r="A12" s="60" t="s">
        <v>248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4.2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8" hidden="1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4.25" hidden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" x14ac:dyDescent="0.25">
      <c r="A16" s="62" t="str">
        <f>IF(Source!G12&lt;&gt;"Новый объект", Source!G12, "")</f>
        <v xml:space="preserve">ТП-521. Замена оборудования- РУ-0,4 кВ 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37" x14ac:dyDescent="0.2">
      <c r="A17" s="60" t="s">
        <v>249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37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37" ht="14.25" x14ac:dyDescent="0.2">
      <c r="A19" s="47" t="str">
        <f>CONCATENATE( "Основание: чертежи № ", Source!J12)</f>
        <v xml:space="preserve">Основание: чертежи № 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37" ht="28.5" x14ac:dyDescent="0.2">
      <c r="A20" s="11"/>
      <c r="B20" s="11"/>
      <c r="C20" s="11"/>
      <c r="D20" s="11"/>
      <c r="E20" s="11"/>
      <c r="F20" s="11"/>
      <c r="G20" s="11"/>
      <c r="H20" s="11"/>
      <c r="I20" s="17" t="s">
        <v>250</v>
      </c>
      <c r="J20" s="17" t="s">
        <v>251</v>
      </c>
      <c r="K20" s="11"/>
    </row>
    <row r="21" spans="1:37" ht="15" x14ac:dyDescent="0.25">
      <c r="A21" s="11"/>
      <c r="B21" s="11"/>
      <c r="C21" s="11"/>
      <c r="D21" s="11"/>
      <c r="E21" s="11"/>
      <c r="F21" s="50" t="s">
        <v>252</v>
      </c>
      <c r="G21" s="50"/>
      <c r="H21" s="50"/>
      <c r="I21" s="18">
        <f>SUM(O1:O254)/1000</f>
        <v>1607.5793100000001</v>
      </c>
      <c r="J21" s="143">
        <f>(Source!F219/1000)</f>
        <v>2550.6376600000003</v>
      </c>
      <c r="K21" s="32" t="s">
        <v>282</v>
      </c>
    </row>
    <row r="22" spans="1:37" ht="14.25" x14ac:dyDescent="0.2">
      <c r="A22" s="11"/>
      <c r="B22" s="11"/>
      <c r="C22" s="11"/>
      <c r="D22" s="11"/>
      <c r="E22" s="11"/>
      <c r="F22" s="50" t="s">
        <v>253</v>
      </c>
      <c r="G22" s="50"/>
      <c r="H22" s="50"/>
      <c r="I22" s="18">
        <f>SUM(X1:X254)/1000</f>
        <v>0</v>
      </c>
      <c r="J22" s="18">
        <f>(Source!F205)/1000</f>
        <v>0</v>
      </c>
      <c r="K22" s="11" t="s">
        <v>282</v>
      </c>
    </row>
    <row r="23" spans="1:37" ht="14.25" x14ac:dyDescent="0.2">
      <c r="A23" s="11"/>
      <c r="B23" s="11"/>
      <c r="C23" s="11"/>
      <c r="D23" s="11"/>
      <c r="E23" s="11"/>
      <c r="F23" s="50" t="s">
        <v>254</v>
      </c>
      <c r="G23" s="50"/>
      <c r="H23" s="50"/>
      <c r="I23" s="18">
        <f>SUM(Y1:Y254)/1000</f>
        <v>30.551499999999997</v>
      </c>
      <c r="J23" s="18">
        <f>(Source!F206)/1000</f>
        <v>278.27193</v>
      </c>
      <c r="K23" s="11" t="s">
        <v>282</v>
      </c>
    </row>
    <row r="24" spans="1:37" ht="14.25" x14ac:dyDescent="0.2">
      <c r="A24" s="11"/>
      <c r="B24" s="11"/>
      <c r="C24" s="11"/>
      <c r="D24" s="11"/>
      <c r="E24" s="11"/>
      <c r="F24" s="50" t="s">
        <v>255</v>
      </c>
      <c r="G24" s="50"/>
      <c r="H24" s="50"/>
      <c r="I24" s="18">
        <f>SUM(Z1:Z254)/1000</f>
        <v>0</v>
      </c>
      <c r="J24" s="18">
        <f>(Source!F197)/1000</f>
        <v>0</v>
      </c>
      <c r="K24" s="11" t="s">
        <v>282</v>
      </c>
    </row>
    <row r="25" spans="1:37" ht="14.25" x14ac:dyDescent="0.2">
      <c r="A25" s="11"/>
      <c r="B25" s="11"/>
      <c r="C25" s="11"/>
      <c r="D25" s="11"/>
      <c r="E25" s="11"/>
      <c r="F25" s="50" t="s">
        <v>226</v>
      </c>
      <c r="G25" s="50"/>
      <c r="H25" s="50"/>
      <c r="I25" s="18">
        <f>SUM(AA1:AA254)/1000</f>
        <v>1577.02781</v>
      </c>
      <c r="J25" s="18">
        <f>(Source!F207+Source!F208)/1000</f>
        <v>1847.25945</v>
      </c>
      <c r="K25" s="11" t="s">
        <v>282</v>
      </c>
    </row>
    <row r="26" spans="1:37" ht="14.25" x14ac:dyDescent="0.2">
      <c r="A26" s="11"/>
      <c r="B26" s="11"/>
      <c r="C26" s="11"/>
      <c r="D26" s="11"/>
      <c r="E26" s="11"/>
      <c r="F26" s="50" t="s">
        <v>256</v>
      </c>
      <c r="G26" s="50"/>
      <c r="H26" s="50"/>
      <c r="I26" s="18">
        <f>SUM(W1:W254)/1000</f>
        <v>9.0841199999999986</v>
      </c>
      <c r="J26" s="18">
        <f>(Source!F203+ Source!F202)/1000</f>
        <v>222.48174</v>
      </c>
      <c r="K26" s="11" t="s">
        <v>282</v>
      </c>
    </row>
    <row r="27" spans="1:37" ht="14.25" hidden="1" x14ac:dyDescent="0.2">
      <c r="A27" s="11"/>
      <c r="B27" s="11"/>
      <c r="C27" s="11"/>
      <c r="D27" s="11"/>
      <c r="E27" s="11"/>
      <c r="F27" s="59" t="s">
        <v>257</v>
      </c>
      <c r="G27" s="59"/>
      <c r="H27" s="59"/>
      <c r="I27" s="18"/>
      <c r="J27" s="18"/>
      <c r="K27" s="11"/>
    </row>
    <row r="28" spans="1:37" ht="14.25" hidden="1" x14ac:dyDescent="0.2">
      <c r="A28" s="11"/>
      <c r="B28" s="11"/>
      <c r="C28" s="11"/>
      <c r="D28" s="11"/>
      <c r="E28" s="11"/>
      <c r="F28" s="56" t="s">
        <v>126</v>
      </c>
      <c r="G28" s="57"/>
      <c r="H28" s="57"/>
      <c r="I28" s="18">
        <f>SUM(AE1:AE254)/1000</f>
        <v>0</v>
      </c>
      <c r="J28" s="18">
        <f>SUM(AF1:AF254)/1000</f>
        <v>0</v>
      </c>
      <c r="K28" s="11" t="s">
        <v>282</v>
      </c>
    </row>
    <row r="29" spans="1:37" ht="14.25" x14ac:dyDescent="0.2">
      <c r="A29" s="58" t="s">
        <v>269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AK29" s="21" t="s">
        <v>269</v>
      </c>
    </row>
    <row r="30" spans="1:37" ht="71.25" x14ac:dyDescent="0.2">
      <c r="A30" s="19" t="s">
        <v>258</v>
      </c>
      <c r="B30" s="19" t="s">
        <v>259</v>
      </c>
      <c r="C30" s="19" t="s">
        <v>260</v>
      </c>
      <c r="D30" s="19" t="s">
        <v>261</v>
      </c>
      <c r="E30" s="19" t="s">
        <v>262</v>
      </c>
      <c r="F30" s="19" t="s">
        <v>263</v>
      </c>
      <c r="G30" s="20" t="s">
        <v>264</v>
      </c>
      <c r="H30" s="20" t="s">
        <v>265</v>
      </c>
      <c r="I30" s="19" t="s">
        <v>266</v>
      </c>
      <c r="J30" s="19" t="s">
        <v>267</v>
      </c>
      <c r="K30" s="19" t="s">
        <v>268</v>
      </c>
    </row>
    <row r="31" spans="1:37" ht="14.25" x14ac:dyDescent="0.2">
      <c r="A31" s="19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19">
        <v>11</v>
      </c>
    </row>
    <row r="33" spans="1:27" ht="16.5" x14ac:dyDescent="0.25">
      <c r="A33" s="55" t="str">
        <f>CONCATENATE("Локальная смета: ",IF(Source!G20&lt;&gt;"Новая локальная смета", Source!G20, ""))</f>
        <v>Локальная смета: ТП-521. Реконструкция. Замена 8 панелей в РУ-0,4 кВ.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5" spans="1:27" ht="16.5" x14ac:dyDescent="0.25">
      <c r="A35" s="55" t="str">
        <f>CONCATENATE("Раздел: ",IF(Source!G24&lt;&gt;"Новый раздел", Source!G24, ""))</f>
        <v>Раздел: Электромонтажные работы.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27" ht="42.75" x14ac:dyDescent="0.2">
      <c r="A36" s="22" t="str">
        <f>Source!E28</f>
        <v>1</v>
      </c>
      <c r="B36" s="23" t="str">
        <f>Source!F28</f>
        <v>4.8-64-3</v>
      </c>
      <c r="C36" s="23" t="s">
        <v>25</v>
      </c>
      <c r="D36" s="24" t="str">
        <f>Source!H28</f>
        <v>т</v>
      </c>
      <c r="E36" s="10">
        <f>Source!I28</f>
        <v>0.312</v>
      </c>
      <c r="F36" s="26"/>
      <c r="G36" s="25"/>
      <c r="H36" s="10"/>
      <c r="I36" s="27"/>
      <c r="J36" s="10"/>
      <c r="K36" s="27"/>
      <c r="Q36">
        <f>ROUND((Source!DN28/100)*ROUND((ROUND((Source!AF28*Source!AV28*Source!I28),2)),2), 2)</f>
        <v>302.27999999999997</v>
      </c>
      <c r="R36">
        <f>Source!X28</f>
        <v>5067.58</v>
      </c>
      <c r="S36">
        <f>ROUND((Source!DO28/100)*ROUND((ROUND((Source!AF28*Source!AV28*Source!I28),2)),2), 2)</f>
        <v>177.66</v>
      </c>
      <c r="T36">
        <f>Source!Y28</f>
        <v>2698.32</v>
      </c>
      <c r="U36">
        <f>ROUND((175/100)*ROUND((ROUND((Source!AE28*Source!AV28*Source!I28),2)),2), 2)</f>
        <v>45.61</v>
      </c>
      <c r="V36">
        <f>ROUND((157/100)*ROUND(ROUND((ROUND((Source!AE28*Source!AV28*Source!I28),2)*Source!BS28),2), 2), 2)</f>
        <v>1015.49</v>
      </c>
    </row>
    <row r="37" spans="1:27" ht="14.25" x14ac:dyDescent="0.2">
      <c r="A37" s="22"/>
      <c r="B37" s="23"/>
      <c r="C37" s="23" t="s">
        <v>270</v>
      </c>
      <c r="D37" s="24"/>
      <c r="E37" s="10"/>
      <c r="F37" s="26">
        <f>Source!AO28</f>
        <v>676.43</v>
      </c>
      <c r="G37" s="25" t="str">
        <f>Source!DG28</f>
        <v>)*1,2</v>
      </c>
      <c r="H37" s="10">
        <f>Source!AV28</f>
        <v>1.0469999999999999</v>
      </c>
      <c r="I37" s="27">
        <f>ROUND((ROUND((Source!AF28*Source!AV28*Source!I28),2)),2)</f>
        <v>265.16000000000003</v>
      </c>
      <c r="J37" s="10">
        <f>IF(Source!BA28&lt;&gt; 0, Source!BA28, 1)</f>
        <v>24.82</v>
      </c>
      <c r="K37" s="27">
        <f>Source!S28</f>
        <v>6581.27</v>
      </c>
      <c r="W37">
        <f>I37</f>
        <v>265.16000000000003</v>
      </c>
    </row>
    <row r="38" spans="1:27" ht="14.25" x14ac:dyDescent="0.2">
      <c r="A38" s="22"/>
      <c r="B38" s="23"/>
      <c r="C38" s="23" t="s">
        <v>271</v>
      </c>
      <c r="D38" s="24"/>
      <c r="E38" s="10"/>
      <c r="F38" s="26">
        <f>Source!AM28</f>
        <v>702.69</v>
      </c>
      <c r="G38" s="25" t="str">
        <f>Source!DE28</f>
        <v>)*1,2</v>
      </c>
      <c r="H38" s="10">
        <f>Source!AV28</f>
        <v>1.0469999999999999</v>
      </c>
      <c r="I38" s="27">
        <f>(ROUND((ROUND((((Source!ET28*1.2))*Source!AV28*Source!I28),2)),2)+ROUND((ROUND(((Source!AE28-((Source!EU28*1.2)))*Source!AV28*Source!I28),2)),2))</f>
        <v>275.45</v>
      </c>
      <c r="J38" s="10">
        <f>IF(Source!BB28&lt;&gt; 0, Source!BB28, 1)</f>
        <v>8.2100000000000009</v>
      </c>
      <c r="K38" s="27">
        <f>Source!Q28</f>
        <v>2261.44</v>
      </c>
    </row>
    <row r="39" spans="1:27" ht="14.25" x14ac:dyDescent="0.2">
      <c r="A39" s="22"/>
      <c r="B39" s="23"/>
      <c r="C39" s="23" t="s">
        <v>272</v>
      </c>
      <c r="D39" s="24"/>
      <c r="E39" s="10"/>
      <c r="F39" s="26">
        <f>Source!AN28</f>
        <v>66.48</v>
      </c>
      <c r="G39" s="25" t="str">
        <f>Source!DF28</f>
        <v>)*1,2</v>
      </c>
      <c r="H39" s="10">
        <f>Source!AV28</f>
        <v>1.0469999999999999</v>
      </c>
      <c r="I39" s="28">
        <f>ROUND((ROUND((Source!AE28*Source!AV28*Source!I28),2)),2)</f>
        <v>26.06</v>
      </c>
      <c r="J39" s="10">
        <f>IF(Source!BS28&lt;&gt; 0, Source!BS28, 1)</f>
        <v>24.82</v>
      </c>
      <c r="K39" s="28">
        <f>Source!R28</f>
        <v>646.80999999999995</v>
      </c>
      <c r="W39">
        <f>I39</f>
        <v>26.06</v>
      </c>
    </row>
    <row r="40" spans="1:27" ht="14.25" x14ac:dyDescent="0.2">
      <c r="A40" s="22"/>
      <c r="B40" s="23"/>
      <c r="C40" s="23" t="s">
        <v>273</v>
      </c>
      <c r="D40" s="24"/>
      <c r="E40" s="10"/>
      <c r="F40" s="26">
        <f>Source!AL28</f>
        <v>5453</v>
      </c>
      <c r="G40" s="25" t="str">
        <f>Source!DD28</f>
        <v/>
      </c>
      <c r="H40" s="10">
        <f>Source!AW28</f>
        <v>1</v>
      </c>
      <c r="I40" s="27">
        <f>ROUND((ROUND((Source!AC28*Source!AW28*Source!I28),2)),2)</f>
        <v>1701.34</v>
      </c>
      <c r="J40" s="10">
        <f>IF(Source!BC28&lt;&gt; 0, Source!BC28, 1)</f>
        <v>5.29</v>
      </c>
      <c r="K40" s="27">
        <f>Source!P28</f>
        <v>9000.09</v>
      </c>
    </row>
    <row r="41" spans="1:27" ht="14.25" x14ac:dyDescent="0.2">
      <c r="A41" s="22"/>
      <c r="B41" s="23"/>
      <c r="C41" s="23" t="s">
        <v>274</v>
      </c>
      <c r="D41" s="24" t="s">
        <v>275</v>
      </c>
      <c r="E41" s="10">
        <f>Source!DN28</f>
        <v>114</v>
      </c>
      <c r="F41" s="26"/>
      <c r="G41" s="25"/>
      <c r="H41" s="10"/>
      <c r="I41" s="27">
        <f>SUM(Q36:Q40)</f>
        <v>302.27999999999997</v>
      </c>
      <c r="J41" s="10">
        <f>Source!BZ28</f>
        <v>77</v>
      </c>
      <c r="K41" s="27">
        <f>SUM(R36:R40)</f>
        <v>5067.58</v>
      </c>
    </row>
    <row r="42" spans="1:27" ht="14.25" x14ac:dyDescent="0.2">
      <c r="A42" s="22"/>
      <c r="B42" s="23"/>
      <c r="C42" s="23" t="s">
        <v>276</v>
      </c>
      <c r="D42" s="24" t="s">
        <v>275</v>
      </c>
      <c r="E42" s="10">
        <f>Source!DO28</f>
        <v>67</v>
      </c>
      <c r="F42" s="26"/>
      <c r="G42" s="25"/>
      <c r="H42" s="10"/>
      <c r="I42" s="27">
        <f>SUM(S36:S41)</f>
        <v>177.66</v>
      </c>
      <c r="J42" s="10">
        <f>Source!CA28</f>
        <v>41</v>
      </c>
      <c r="K42" s="27">
        <f>SUM(T36:T41)</f>
        <v>2698.32</v>
      </c>
    </row>
    <row r="43" spans="1:27" ht="14.25" x14ac:dyDescent="0.2">
      <c r="A43" s="22"/>
      <c r="B43" s="23"/>
      <c r="C43" s="23" t="s">
        <v>277</v>
      </c>
      <c r="D43" s="24" t="s">
        <v>275</v>
      </c>
      <c r="E43" s="10">
        <f>175</f>
        <v>175</v>
      </c>
      <c r="F43" s="26"/>
      <c r="G43" s="25"/>
      <c r="H43" s="10"/>
      <c r="I43" s="27">
        <f>SUM(U36:U42)</f>
        <v>45.61</v>
      </c>
      <c r="J43" s="10">
        <f>157</f>
        <v>157</v>
      </c>
      <c r="K43" s="27">
        <f>SUM(V36:V42)</f>
        <v>1015.49</v>
      </c>
    </row>
    <row r="44" spans="1:27" ht="14.25" x14ac:dyDescent="0.2">
      <c r="A44" s="22"/>
      <c r="B44" s="23"/>
      <c r="C44" s="23" t="s">
        <v>278</v>
      </c>
      <c r="D44" s="24" t="s">
        <v>279</v>
      </c>
      <c r="E44" s="10">
        <f>Source!AQ28</f>
        <v>53.6</v>
      </c>
      <c r="F44" s="26"/>
      <c r="G44" s="25" t="str">
        <f>Source!DI28</f>
        <v>)*1,2</v>
      </c>
      <c r="H44" s="10">
        <f>Source!AV28</f>
        <v>1.0469999999999999</v>
      </c>
      <c r="I44" s="27">
        <f>Source!U28</f>
        <v>21.011028479999997</v>
      </c>
      <c r="J44" s="10"/>
      <c r="K44" s="27"/>
    </row>
    <row r="45" spans="1:27" ht="15" x14ac:dyDescent="0.25">
      <c r="A45" s="30"/>
      <c r="B45" s="30"/>
      <c r="C45" s="30"/>
      <c r="D45" s="30"/>
      <c r="E45" s="30"/>
      <c r="F45" s="30"/>
      <c r="G45" s="30"/>
      <c r="H45" s="54">
        <f>I37+I38+I40+I41+I42+I43</f>
        <v>2767.4999999999995</v>
      </c>
      <c r="I45" s="54"/>
      <c r="J45" s="54">
        <f>K37+K38+K40+K41+K42+K43</f>
        <v>26624.190000000006</v>
      </c>
      <c r="K45" s="54"/>
      <c r="O45" s="29">
        <f>I37+I38+I40+I41+I42+I43</f>
        <v>2767.4999999999995</v>
      </c>
      <c r="P45" s="29">
        <f>K37+K38+K40+K41+K42+K43</f>
        <v>26624.190000000006</v>
      </c>
      <c r="X45">
        <f>IF(Source!BI28&lt;=1,I37+I38+I40+I41+I42+I43-0, 0)</f>
        <v>0</v>
      </c>
      <c r="Y45">
        <f>IF(Source!BI28=2,I37+I38+I40+I41+I42+I43-0, 0)</f>
        <v>2767.4999999999995</v>
      </c>
      <c r="Z45">
        <f>IF(Source!BI28=3,I37+I38+I40+I41+I42+I43-0, 0)</f>
        <v>0</v>
      </c>
      <c r="AA45">
        <f>IF(Source!BI28=4,I37+I38+I40+I41+I42+I43,0)</f>
        <v>0</v>
      </c>
    </row>
    <row r="46" spans="1:27" ht="128.25" x14ac:dyDescent="0.2">
      <c r="A46" s="22" t="str">
        <f>Source!E29</f>
        <v>2</v>
      </c>
      <c r="B46" s="23" t="str">
        <f>Source!F29</f>
        <v>4.8-239-7</v>
      </c>
      <c r="C46" s="23" t="s">
        <v>35</v>
      </c>
      <c r="D46" s="24" t="str">
        <f>Source!H29</f>
        <v>шт.</v>
      </c>
      <c r="E46" s="10">
        <f>Source!I29</f>
        <v>8</v>
      </c>
      <c r="F46" s="26"/>
      <c r="G46" s="25"/>
      <c r="H46" s="10"/>
      <c r="I46" s="27"/>
      <c r="J46" s="10"/>
      <c r="K46" s="27"/>
      <c r="Q46">
        <f>ROUND((Source!DN29/100)*ROUND((ROUND((Source!AF29*Source!AV29*Source!I29),2)),2), 2)</f>
        <v>613.71</v>
      </c>
      <c r="R46">
        <f>Source!X29</f>
        <v>10288.43</v>
      </c>
      <c r="S46">
        <f>ROUND((Source!DO29/100)*ROUND((ROUND((Source!AF29*Source!AV29*Source!I29),2)),2), 2)</f>
        <v>360.69</v>
      </c>
      <c r="T46">
        <f>Source!Y29</f>
        <v>5478.26</v>
      </c>
      <c r="U46">
        <f>ROUND((175/100)*ROUND((ROUND((Source!AE29*Source!AV29*Source!I29),2)),2), 2)</f>
        <v>170.45</v>
      </c>
      <c r="V46">
        <f>ROUND((157/100)*ROUND(ROUND((ROUND((Source!AE29*Source!AV29*Source!I29),2)*Source!BS29),2), 2), 2)</f>
        <v>3795.43</v>
      </c>
    </row>
    <row r="47" spans="1:27" ht="14.25" x14ac:dyDescent="0.2">
      <c r="A47" s="22"/>
      <c r="B47" s="23"/>
      <c r="C47" s="23" t="s">
        <v>270</v>
      </c>
      <c r="D47" s="24"/>
      <c r="E47" s="10"/>
      <c r="F47" s="26">
        <f>Source!AO29</f>
        <v>53.56</v>
      </c>
      <c r="G47" s="25" t="str">
        <f>Source!DG29</f>
        <v>)*1,2</v>
      </c>
      <c r="H47" s="10">
        <f>Source!AV29</f>
        <v>1.0469999999999999</v>
      </c>
      <c r="I47" s="27">
        <f>ROUND((ROUND((Source!AF29*Source!AV29*Source!I29),2)),2)</f>
        <v>538.34</v>
      </c>
      <c r="J47" s="10">
        <f>IF(Source!BA29&lt;&gt; 0, Source!BA29, 1)</f>
        <v>24.82</v>
      </c>
      <c r="K47" s="27">
        <f>Source!S29</f>
        <v>13361.6</v>
      </c>
      <c r="W47">
        <f>I47</f>
        <v>538.34</v>
      </c>
    </row>
    <row r="48" spans="1:27" ht="14.25" x14ac:dyDescent="0.2">
      <c r="A48" s="22"/>
      <c r="B48" s="23"/>
      <c r="C48" s="23" t="s">
        <v>271</v>
      </c>
      <c r="D48" s="24"/>
      <c r="E48" s="10"/>
      <c r="F48" s="26">
        <f>Source!AM29</f>
        <v>70.38</v>
      </c>
      <c r="G48" s="25" t="str">
        <f>Source!DE29</f>
        <v>)*1,2</v>
      </c>
      <c r="H48" s="10">
        <f>Source!AV29</f>
        <v>1.0469999999999999</v>
      </c>
      <c r="I48" s="27">
        <f>(ROUND((ROUND((((Source!ET29*1.2))*Source!AV29*Source!I29),2)),2)+ROUND((ROUND(((Source!AE29-((Source!EU29*1.2)))*Source!AV29*Source!I29),2)),2))</f>
        <v>707.4</v>
      </c>
      <c r="J48" s="10">
        <f>IF(Source!BB29&lt;&gt; 0, Source!BB29, 1)</f>
        <v>8.44</v>
      </c>
      <c r="K48" s="27">
        <f>Source!Q29</f>
        <v>5970.46</v>
      </c>
    </row>
    <row r="49" spans="1:27" ht="14.25" x14ac:dyDescent="0.2">
      <c r="A49" s="22"/>
      <c r="B49" s="23"/>
      <c r="C49" s="23" t="s">
        <v>272</v>
      </c>
      <c r="D49" s="24"/>
      <c r="E49" s="10"/>
      <c r="F49" s="26">
        <f>Source!AN29</f>
        <v>9.69</v>
      </c>
      <c r="G49" s="25" t="str">
        <f>Source!DF29</f>
        <v>)*1,2</v>
      </c>
      <c r="H49" s="10">
        <f>Source!AV29</f>
        <v>1.0469999999999999</v>
      </c>
      <c r="I49" s="28">
        <f>ROUND((ROUND((Source!AE29*Source!AV29*Source!I29),2)),2)</f>
        <v>97.4</v>
      </c>
      <c r="J49" s="10">
        <f>IF(Source!BS29&lt;&gt; 0, Source!BS29, 1)</f>
        <v>24.82</v>
      </c>
      <c r="K49" s="28">
        <f>Source!R29</f>
        <v>2417.4699999999998</v>
      </c>
      <c r="W49">
        <f>I49</f>
        <v>97.4</v>
      </c>
    </row>
    <row r="50" spans="1:27" ht="14.25" x14ac:dyDescent="0.2">
      <c r="A50" s="22"/>
      <c r="B50" s="23"/>
      <c r="C50" s="23" t="s">
        <v>273</v>
      </c>
      <c r="D50" s="24"/>
      <c r="E50" s="10"/>
      <c r="F50" s="26">
        <f>Source!AL29</f>
        <v>153.30000000000001</v>
      </c>
      <c r="G50" s="25" t="str">
        <f>Source!DD29</f>
        <v/>
      </c>
      <c r="H50" s="10">
        <f>Source!AW29</f>
        <v>1</v>
      </c>
      <c r="I50" s="27">
        <f>ROUND((ROUND((Source!AC29*Source!AW29*Source!I29),2)),2)</f>
        <v>1226.4000000000001</v>
      </c>
      <c r="J50" s="10">
        <f>IF(Source!BC29&lt;&gt; 0, Source!BC29, 1)</f>
        <v>5.29</v>
      </c>
      <c r="K50" s="27">
        <f>Source!P29</f>
        <v>6487.66</v>
      </c>
    </row>
    <row r="51" spans="1:27" ht="14.25" x14ac:dyDescent="0.2">
      <c r="A51" s="22"/>
      <c r="B51" s="23"/>
      <c r="C51" s="23" t="s">
        <v>274</v>
      </c>
      <c r="D51" s="24" t="s">
        <v>275</v>
      </c>
      <c r="E51" s="10">
        <f>Source!DN29</f>
        <v>114</v>
      </c>
      <c r="F51" s="26"/>
      <c r="G51" s="25"/>
      <c r="H51" s="10"/>
      <c r="I51" s="27">
        <f>SUM(Q46:Q50)</f>
        <v>613.71</v>
      </c>
      <c r="J51" s="10">
        <f>Source!BZ29</f>
        <v>77</v>
      </c>
      <c r="K51" s="27">
        <f>SUM(R46:R50)</f>
        <v>10288.43</v>
      </c>
    </row>
    <row r="52" spans="1:27" ht="14.25" x14ac:dyDescent="0.2">
      <c r="A52" s="22"/>
      <c r="B52" s="23"/>
      <c r="C52" s="23" t="s">
        <v>276</v>
      </c>
      <c r="D52" s="24" t="s">
        <v>275</v>
      </c>
      <c r="E52" s="10">
        <f>Source!DO29</f>
        <v>67</v>
      </c>
      <c r="F52" s="26"/>
      <c r="G52" s="25"/>
      <c r="H52" s="10"/>
      <c r="I52" s="27">
        <f>SUM(S46:S51)</f>
        <v>360.69</v>
      </c>
      <c r="J52" s="10">
        <f>Source!CA29</f>
        <v>41</v>
      </c>
      <c r="K52" s="27">
        <f>SUM(T46:T51)</f>
        <v>5478.26</v>
      </c>
    </row>
    <row r="53" spans="1:27" ht="14.25" x14ac:dyDescent="0.2">
      <c r="A53" s="22"/>
      <c r="B53" s="23"/>
      <c r="C53" s="23" t="s">
        <v>277</v>
      </c>
      <c r="D53" s="24" t="s">
        <v>275</v>
      </c>
      <c r="E53" s="10">
        <f>175</f>
        <v>175</v>
      </c>
      <c r="F53" s="26"/>
      <c r="G53" s="25"/>
      <c r="H53" s="10"/>
      <c r="I53" s="27">
        <f>SUM(U46:U52)</f>
        <v>170.45</v>
      </c>
      <c r="J53" s="10">
        <f>157</f>
        <v>157</v>
      </c>
      <c r="K53" s="27">
        <f>SUM(V46:V52)</f>
        <v>3795.43</v>
      </c>
    </row>
    <row r="54" spans="1:27" ht="14.25" x14ac:dyDescent="0.2">
      <c r="A54" s="22"/>
      <c r="B54" s="23"/>
      <c r="C54" s="23" t="s">
        <v>278</v>
      </c>
      <c r="D54" s="24" t="s">
        <v>279</v>
      </c>
      <c r="E54" s="10">
        <f>Source!AQ29</f>
        <v>4.12</v>
      </c>
      <c r="F54" s="26"/>
      <c r="G54" s="25" t="str">
        <f>Source!DI29</f>
        <v>)*1,2</v>
      </c>
      <c r="H54" s="10">
        <f>Source!AV29</f>
        <v>1.0469999999999999</v>
      </c>
      <c r="I54" s="27">
        <f>Source!U29</f>
        <v>41.410943999999994</v>
      </c>
      <c r="J54" s="10"/>
      <c r="K54" s="27"/>
    </row>
    <row r="55" spans="1:27" ht="15" x14ac:dyDescent="0.25">
      <c r="A55" s="30"/>
      <c r="B55" s="30"/>
      <c r="C55" s="30"/>
      <c r="D55" s="30"/>
      <c r="E55" s="30"/>
      <c r="F55" s="30"/>
      <c r="G55" s="30"/>
      <c r="H55" s="54">
        <f>I47+I48+I50+I51+I52+I53</f>
        <v>3616.9900000000002</v>
      </c>
      <c r="I55" s="54"/>
      <c r="J55" s="54">
        <f>K47+K48+K50+K51+K52+K53</f>
        <v>45381.840000000004</v>
      </c>
      <c r="K55" s="54"/>
      <c r="O55" s="29">
        <f>I47+I48+I50+I51+I52+I53</f>
        <v>3616.9900000000002</v>
      </c>
      <c r="P55" s="29">
        <f>K47+K48+K50+K51+K52+K53</f>
        <v>45381.840000000004</v>
      </c>
      <c r="X55">
        <f>IF(Source!BI29&lt;=1,I47+I48+I50+I51+I52+I53-0, 0)</f>
        <v>0</v>
      </c>
      <c r="Y55">
        <f>IF(Source!BI29=2,I47+I48+I50+I51+I52+I53-0, 0)</f>
        <v>3616.9900000000002</v>
      </c>
      <c r="Z55">
        <f>IF(Source!BI29=3,I47+I48+I50+I51+I52+I53-0, 0)</f>
        <v>0</v>
      </c>
      <c r="AA55">
        <f>IF(Source!BI29=4,I47+I48+I50+I51+I52+I53,0)</f>
        <v>0</v>
      </c>
    </row>
    <row r="56" spans="1:27" ht="128.25" x14ac:dyDescent="0.2">
      <c r="A56" s="22" t="str">
        <f>Source!E30</f>
        <v>3</v>
      </c>
      <c r="B56" s="23" t="str">
        <f>Source!F30</f>
        <v>4.8-239-7</v>
      </c>
      <c r="C56" s="23" t="s">
        <v>41</v>
      </c>
      <c r="D56" s="24" t="str">
        <f>Source!H30</f>
        <v>шт.</v>
      </c>
      <c r="E56" s="10">
        <f>Source!I30</f>
        <v>8</v>
      </c>
      <c r="F56" s="26"/>
      <c r="G56" s="25"/>
      <c r="H56" s="10"/>
      <c r="I56" s="27"/>
      <c r="J56" s="10"/>
      <c r="K56" s="27"/>
      <c r="Q56">
        <f>ROUND((Source!DN30/100)*ROUND((ROUND((Source!AF30*Source!AV30*Source!I30),2)),2), 2)</f>
        <v>306.85000000000002</v>
      </c>
      <c r="R56">
        <f>Source!X30</f>
        <v>5144.22</v>
      </c>
      <c r="S56">
        <f>ROUND((Source!DO30/100)*ROUND((ROUND((Source!AF30*Source!AV30*Source!I30),2)),2), 2)</f>
        <v>180.34</v>
      </c>
      <c r="T56">
        <f>Source!Y30</f>
        <v>2739.13</v>
      </c>
      <c r="U56">
        <f>ROUND((175/100)*ROUND((ROUND((Source!AE30*Source!AV30*Source!I30),2)),2), 2)</f>
        <v>85.23</v>
      </c>
      <c r="V56">
        <f>ROUND((157/100)*ROUND(ROUND((ROUND((Source!AE30*Source!AV30*Source!I30),2)*Source!BS30),2), 2), 2)</f>
        <v>1897.71</v>
      </c>
    </row>
    <row r="57" spans="1:27" ht="28.5" x14ac:dyDescent="0.2">
      <c r="A57" s="22"/>
      <c r="B57" s="23"/>
      <c r="C57" s="23" t="s">
        <v>270</v>
      </c>
      <c r="D57" s="24"/>
      <c r="E57" s="10"/>
      <c r="F57" s="26">
        <f>Source!AO30</f>
        <v>53.56</v>
      </c>
      <c r="G57" s="25" t="str">
        <f>Source!DG30</f>
        <v>)*0,5)*1,2</v>
      </c>
      <c r="H57" s="10">
        <f>Source!AV30</f>
        <v>1.0469999999999999</v>
      </c>
      <c r="I57" s="27">
        <f>ROUND((ROUND((Source!AF30*Source!AV30*Source!I30),2)),2)</f>
        <v>269.17</v>
      </c>
      <c r="J57" s="10">
        <f>IF(Source!BA30&lt;&gt; 0, Source!BA30, 1)</f>
        <v>24.82</v>
      </c>
      <c r="K57" s="27">
        <f>Source!S30</f>
        <v>6680.8</v>
      </c>
      <c r="W57">
        <f>I57</f>
        <v>269.17</v>
      </c>
    </row>
    <row r="58" spans="1:27" ht="28.5" x14ac:dyDescent="0.2">
      <c r="A58" s="22"/>
      <c r="B58" s="23"/>
      <c r="C58" s="23" t="s">
        <v>271</v>
      </c>
      <c r="D58" s="24"/>
      <c r="E58" s="10"/>
      <c r="F58" s="26">
        <f>Source!AM30</f>
        <v>70.38</v>
      </c>
      <c r="G58" s="25" t="str">
        <f>Source!DE30</f>
        <v>)*0,5)*1,2</v>
      </c>
      <c r="H58" s="10">
        <f>Source!AV30</f>
        <v>1.0469999999999999</v>
      </c>
      <c r="I58" s="27">
        <f>(ROUND((ROUND(((((Source!ET30*0.5)*1.2))*Source!AV30*Source!I30),2)),2)+ROUND((ROUND(((Source!AE30-(((Source!EU30*0.5)*1.2)))*Source!AV30*Source!I30),2)),2))</f>
        <v>353.7</v>
      </c>
      <c r="J58" s="10">
        <f>IF(Source!BB30&lt;&gt; 0, Source!BB30, 1)</f>
        <v>8.44</v>
      </c>
      <c r="K58" s="27">
        <f>Source!Q30</f>
        <v>2985.23</v>
      </c>
    </row>
    <row r="59" spans="1:27" ht="28.5" x14ac:dyDescent="0.2">
      <c r="A59" s="22"/>
      <c r="B59" s="23"/>
      <c r="C59" s="23" t="s">
        <v>272</v>
      </c>
      <c r="D59" s="24"/>
      <c r="E59" s="10"/>
      <c r="F59" s="26">
        <f>Source!AN30</f>
        <v>9.69</v>
      </c>
      <c r="G59" s="25" t="str">
        <f>Source!DF30</f>
        <v>)*0,5)*1,2</v>
      </c>
      <c r="H59" s="10">
        <f>Source!AV30</f>
        <v>1.0469999999999999</v>
      </c>
      <c r="I59" s="28">
        <f>ROUND((ROUND((Source!AE30*Source!AV30*Source!I30),2)),2)</f>
        <v>48.7</v>
      </c>
      <c r="J59" s="10">
        <f>IF(Source!BS30&lt;&gt; 0, Source!BS30, 1)</f>
        <v>24.82</v>
      </c>
      <c r="K59" s="28">
        <f>Source!R30</f>
        <v>1208.73</v>
      </c>
      <c r="W59">
        <f>I59</f>
        <v>48.7</v>
      </c>
    </row>
    <row r="60" spans="1:27" ht="14.25" x14ac:dyDescent="0.2">
      <c r="A60" s="22"/>
      <c r="B60" s="23"/>
      <c r="C60" s="23" t="s">
        <v>274</v>
      </c>
      <c r="D60" s="24" t="s">
        <v>275</v>
      </c>
      <c r="E60" s="10">
        <f>Source!DN30</f>
        <v>114</v>
      </c>
      <c r="F60" s="26"/>
      <c r="G60" s="25"/>
      <c r="H60" s="10"/>
      <c r="I60" s="27">
        <f>SUM(Q56:Q59)</f>
        <v>306.85000000000002</v>
      </c>
      <c r="J60" s="10">
        <f>Source!BZ30</f>
        <v>77</v>
      </c>
      <c r="K60" s="27">
        <f>SUM(R56:R59)</f>
        <v>5144.22</v>
      </c>
    </row>
    <row r="61" spans="1:27" ht="14.25" x14ac:dyDescent="0.2">
      <c r="A61" s="22"/>
      <c r="B61" s="23"/>
      <c r="C61" s="23" t="s">
        <v>276</v>
      </c>
      <c r="D61" s="24" t="s">
        <v>275</v>
      </c>
      <c r="E61" s="10">
        <f>Source!DO30</f>
        <v>67</v>
      </c>
      <c r="F61" s="26"/>
      <c r="G61" s="25"/>
      <c r="H61" s="10"/>
      <c r="I61" s="27">
        <f>SUM(S56:S60)</f>
        <v>180.34</v>
      </c>
      <c r="J61" s="10">
        <f>Source!CA30</f>
        <v>41</v>
      </c>
      <c r="K61" s="27">
        <f>SUM(T56:T60)</f>
        <v>2739.13</v>
      </c>
    </row>
    <row r="62" spans="1:27" ht="14.25" x14ac:dyDescent="0.2">
      <c r="A62" s="22"/>
      <c r="B62" s="23"/>
      <c r="C62" s="23" t="s">
        <v>277</v>
      </c>
      <c r="D62" s="24" t="s">
        <v>275</v>
      </c>
      <c r="E62" s="10">
        <f>175</f>
        <v>175</v>
      </c>
      <c r="F62" s="26"/>
      <c r="G62" s="25"/>
      <c r="H62" s="10"/>
      <c r="I62" s="27">
        <f>SUM(U56:U61)</f>
        <v>85.23</v>
      </c>
      <c r="J62" s="10">
        <f>157</f>
        <v>157</v>
      </c>
      <c r="K62" s="27">
        <f>SUM(V56:V61)</f>
        <v>1897.71</v>
      </c>
    </row>
    <row r="63" spans="1:27" ht="28.5" x14ac:dyDescent="0.2">
      <c r="A63" s="22"/>
      <c r="B63" s="23"/>
      <c r="C63" s="23" t="s">
        <v>278</v>
      </c>
      <c r="D63" s="24" t="s">
        <v>279</v>
      </c>
      <c r="E63" s="10">
        <f>Source!AQ30</f>
        <v>4.12</v>
      </c>
      <c r="F63" s="26"/>
      <c r="G63" s="25" t="str">
        <f>Source!DI30</f>
        <v>)*0,5)*1,2</v>
      </c>
      <c r="H63" s="10">
        <f>Source!AV30</f>
        <v>1.0469999999999999</v>
      </c>
      <c r="I63" s="27">
        <f>Source!U30</f>
        <v>20.705471999999997</v>
      </c>
      <c r="J63" s="10"/>
      <c r="K63" s="27"/>
    </row>
    <row r="64" spans="1:27" ht="15" x14ac:dyDescent="0.25">
      <c r="A64" s="30"/>
      <c r="B64" s="30"/>
      <c r="C64" s="30"/>
      <c r="D64" s="30"/>
      <c r="E64" s="30"/>
      <c r="F64" s="30"/>
      <c r="G64" s="30"/>
      <c r="H64" s="54">
        <f>I57+I58+I60+I61+I62</f>
        <v>1195.29</v>
      </c>
      <c r="I64" s="54"/>
      <c r="J64" s="54">
        <f>K57+K58+K60+K61+K62</f>
        <v>19447.09</v>
      </c>
      <c r="K64" s="54"/>
      <c r="O64" s="29">
        <f>I57+I58+I60+I61+I62</f>
        <v>1195.29</v>
      </c>
      <c r="P64" s="29">
        <f>K57+K58+K60+K61+K62</f>
        <v>19447.09</v>
      </c>
      <c r="X64">
        <f>IF(Source!BI30&lt;=1,I57+I58+I60+I61+I62-0, 0)</f>
        <v>0</v>
      </c>
      <c r="Y64">
        <f>IF(Source!BI30=2,I57+I58+I60+I61+I62-0, 0)</f>
        <v>1195.29</v>
      </c>
      <c r="Z64">
        <f>IF(Source!BI30=3,I57+I58+I60+I61+I62-0, 0)</f>
        <v>0</v>
      </c>
      <c r="AA64">
        <f>IF(Source!BI30=4,I57+I58+I60+I61+I62,0)</f>
        <v>0</v>
      </c>
    </row>
    <row r="65" spans="1:27" ht="28.5" x14ac:dyDescent="0.2">
      <c r="A65" s="22" t="str">
        <f>Source!E31</f>
        <v>4</v>
      </c>
      <c r="B65" s="23" t="str">
        <f>Source!F31</f>
        <v>4.8-47-2</v>
      </c>
      <c r="C65" s="23" t="s">
        <v>47</v>
      </c>
      <c r="D65" s="24" t="str">
        <f>Source!H31</f>
        <v>100 м</v>
      </c>
      <c r="E65" s="10">
        <f>Source!I31</f>
        <v>0.24</v>
      </c>
      <c r="F65" s="26"/>
      <c r="G65" s="25"/>
      <c r="H65" s="10"/>
      <c r="I65" s="27"/>
      <c r="J65" s="10"/>
      <c r="K65" s="27"/>
      <c r="Q65">
        <f>ROUND((Source!DN31/100)*ROUND((ROUND((Source!AF31*Source!AV31*Source!I31),2)),2), 2)</f>
        <v>241.2</v>
      </c>
      <c r="R65">
        <f>Source!X31</f>
        <v>3491.3</v>
      </c>
      <c r="S65">
        <f>ROUND((Source!DO31/100)*ROUND((ROUND((Source!AF31*Source!AV31*Source!I31),2)),2), 2)</f>
        <v>141.76</v>
      </c>
      <c r="T65">
        <f>Source!Y31</f>
        <v>1859.01</v>
      </c>
      <c r="U65">
        <f>ROUND((175/100)*ROUND((ROUND((Source!AE31*Source!AV31*Source!I31),2)),2), 2)</f>
        <v>64.05</v>
      </c>
      <c r="V65">
        <f>ROUND((157/100)*ROUND(ROUND((ROUND((Source!AE31*Source!AV31*Source!I31),2)*Source!BS31),2), 2), 2)</f>
        <v>1231.4100000000001</v>
      </c>
    </row>
    <row r="66" spans="1:27" x14ac:dyDescent="0.2">
      <c r="C66" s="31" t="str">
        <f>"Объем: "&amp;Source!I31&amp;"=(24)/"&amp;"100"</f>
        <v>Объем: 0,24=(24)/100</v>
      </c>
    </row>
    <row r="67" spans="1:27" ht="14.25" x14ac:dyDescent="0.2">
      <c r="A67" s="22"/>
      <c r="B67" s="23"/>
      <c r="C67" s="23" t="s">
        <v>270</v>
      </c>
      <c r="D67" s="24"/>
      <c r="E67" s="10"/>
      <c r="F67" s="26">
        <f>Source!AO31</f>
        <v>701.67</v>
      </c>
      <c r="G67" s="25" t="str">
        <f>Source!DG31</f>
        <v>)*1,2</v>
      </c>
      <c r="H67" s="10">
        <f>Source!AV31</f>
        <v>1.0469999999999999</v>
      </c>
      <c r="I67" s="27">
        <f>ROUND((ROUND((Source!AF31*Source!AV31*Source!I31),2)),2)</f>
        <v>211.58</v>
      </c>
      <c r="J67" s="10">
        <f>IF(Source!BA31&lt;&gt; 0, Source!BA31, 1)</f>
        <v>21.43</v>
      </c>
      <c r="K67" s="27">
        <f>Source!S31</f>
        <v>4534.16</v>
      </c>
      <c r="W67">
        <f>I67</f>
        <v>211.58</v>
      </c>
    </row>
    <row r="68" spans="1:27" ht="14.25" x14ac:dyDescent="0.2">
      <c r="A68" s="22"/>
      <c r="B68" s="23"/>
      <c r="C68" s="23" t="s">
        <v>271</v>
      </c>
      <c r="D68" s="24"/>
      <c r="E68" s="10"/>
      <c r="F68" s="26">
        <f>Source!AM31</f>
        <v>523.13</v>
      </c>
      <c r="G68" s="25" t="str">
        <f>Source!DE31</f>
        <v>)*1,2</v>
      </c>
      <c r="H68" s="10">
        <f>Source!AV31</f>
        <v>1.0469999999999999</v>
      </c>
      <c r="I68" s="27">
        <f>(ROUND((ROUND((((Source!ET31*1.2))*Source!AV31*Source!I31),2)),2)+ROUND((ROUND(((Source!AE31-((Source!EU31*1.2)))*Source!AV31*Source!I31),2)),2))</f>
        <v>157.74</v>
      </c>
      <c r="J68" s="10">
        <f>IF(Source!BB31&lt;&gt; 0, Source!BB31, 1)</f>
        <v>9.94</v>
      </c>
      <c r="K68" s="27">
        <f>Source!Q31</f>
        <v>1567.94</v>
      </c>
    </row>
    <row r="69" spans="1:27" ht="14.25" x14ac:dyDescent="0.2">
      <c r="A69" s="22"/>
      <c r="B69" s="23"/>
      <c r="C69" s="23" t="s">
        <v>272</v>
      </c>
      <c r="D69" s="24"/>
      <c r="E69" s="10"/>
      <c r="F69" s="26">
        <f>Source!AN31</f>
        <v>121.38</v>
      </c>
      <c r="G69" s="25" t="str">
        <f>Source!DF31</f>
        <v>)*1,2</v>
      </c>
      <c r="H69" s="10">
        <f>Source!AV31</f>
        <v>1.0469999999999999</v>
      </c>
      <c r="I69" s="28">
        <f>ROUND((ROUND((Source!AE31*Source!AV31*Source!I31),2)),2)</f>
        <v>36.6</v>
      </c>
      <c r="J69" s="10">
        <f>IF(Source!BS31&lt;&gt; 0, Source!BS31, 1)</f>
        <v>21.43</v>
      </c>
      <c r="K69" s="28">
        <f>Source!R31</f>
        <v>784.34</v>
      </c>
      <c r="W69">
        <f>I69</f>
        <v>36.6</v>
      </c>
    </row>
    <row r="70" spans="1:27" ht="14.25" x14ac:dyDescent="0.2">
      <c r="A70" s="22"/>
      <c r="B70" s="23"/>
      <c r="C70" s="23" t="s">
        <v>273</v>
      </c>
      <c r="D70" s="24"/>
      <c r="E70" s="10"/>
      <c r="F70" s="26">
        <f>Source!AL31</f>
        <v>81.2</v>
      </c>
      <c r="G70" s="25" t="str">
        <f>Source!DD31</f>
        <v/>
      </c>
      <c r="H70" s="10">
        <f>Source!AW31</f>
        <v>1</v>
      </c>
      <c r="I70" s="27">
        <f>ROUND((ROUND((Source!AC31*Source!AW31*Source!I31),2)),2)</f>
        <v>19.489999999999998</v>
      </c>
      <c r="J70" s="10">
        <f>IF(Source!BC31&lt;&gt; 0, Source!BC31, 1)</f>
        <v>5.28</v>
      </c>
      <c r="K70" s="27">
        <f>Source!P31</f>
        <v>102.91</v>
      </c>
    </row>
    <row r="71" spans="1:27" ht="14.25" x14ac:dyDescent="0.2">
      <c r="A71" s="22"/>
      <c r="B71" s="23"/>
      <c r="C71" s="23" t="s">
        <v>274</v>
      </c>
      <c r="D71" s="24" t="s">
        <v>275</v>
      </c>
      <c r="E71" s="10">
        <f>Source!DN31</f>
        <v>114</v>
      </c>
      <c r="F71" s="26"/>
      <c r="G71" s="25"/>
      <c r="H71" s="10"/>
      <c r="I71" s="27">
        <f>SUM(Q65:Q70)</f>
        <v>241.2</v>
      </c>
      <c r="J71" s="10">
        <f>Source!BZ31</f>
        <v>77</v>
      </c>
      <c r="K71" s="27">
        <f>SUM(R65:R70)</f>
        <v>3491.3</v>
      </c>
    </row>
    <row r="72" spans="1:27" ht="14.25" x14ac:dyDescent="0.2">
      <c r="A72" s="22"/>
      <c r="B72" s="23"/>
      <c r="C72" s="23" t="s">
        <v>276</v>
      </c>
      <c r="D72" s="24" t="s">
        <v>275</v>
      </c>
      <c r="E72" s="10">
        <f>Source!DO31</f>
        <v>67</v>
      </c>
      <c r="F72" s="26"/>
      <c r="G72" s="25"/>
      <c r="H72" s="10"/>
      <c r="I72" s="27">
        <f>SUM(S65:S71)</f>
        <v>141.76</v>
      </c>
      <c r="J72" s="10">
        <f>Source!CA31</f>
        <v>41</v>
      </c>
      <c r="K72" s="27">
        <f>SUM(T65:T71)</f>
        <v>1859.01</v>
      </c>
    </row>
    <row r="73" spans="1:27" ht="14.25" x14ac:dyDescent="0.2">
      <c r="A73" s="22"/>
      <c r="B73" s="23"/>
      <c r="C73" s="23" t="s">
        <v>277</v>
      </c>
      <c r="D73" s="24" t="s">
        <v>275</v>
      </c>
      <c r="E73" s="10">
        <f>175</f>
        <v>175</v>
      </c>
      <c r="F73" s="26"/>
      <c r="G73" s="25"/>
      <c r="H73" s="10"/>
      <c r="I73" s="27">
        <f>SUM(U65:U72)</f>
        <v>64.05</v>
      </c>
      <c r="J73" s="10">
        <f>157</f>
        <v>157</v>
      </c>
      <c r="K73" s="27">
        <f>SUM(V65:V72)</f>
        <v>1231.4100000000001</v>
      </c>
    </row>
    <row r="74" spans="1:27" ht="14.25" x14ac:dyDescent="0.2">
      <c r="A74" s="22"/>
      <c r="B74" s="23"/>
      <c r="C74" s="23" t="s">
        <v>278</v>
      </c>
      <c r="D74" s="24" t="s">
        <v>279</v>
      </c>
      <c r="E74" s="10">
        <f>Source!AQ31</f>
        <v>55.6</v>
      </c>
      <c r="F74" s="26"/>
      <c r="G74" s="25" t="str">
        <f>Source!DI31</f>
        <v>)*1,2</v>
      </c>
      <c r="H74" s="10">
        <f>Source!AV31</f>
        <v>1.0469999999999999</v>
      </c>
      <c r="I74" s="27">
        <f>Source!U31</f>
        <v>16.765401600000001</v>
      </c>
      <c r="J74" s="10"/>
      <c r="K74" s="27"/>
    </row>
    <row r="75" spans="1:27" ht="15" x14ac:dyDescent="0.25">
      <c r="A75" s="30"/>
      <c r="B75" s="30"/>
      <c r="C75" s="30"/>
      <c r="D75" s="30"/>
      <c r="E75" s="30"/>
      <c r="F75" s="30"/>
      <c r="G75" s="30"/>
      <c r="H75" s="54">
        <f>I67+I68+I70+I71+I72+I73</f>
        <v>835.81999999999994</v>
      </c>
      <c r="I75" s="54"/>
      <c r="J75" s="54">
        <f>K67+K68+K70+K71+K72+K73</f>
        <v>12786.730000000001</v>
      </c>
      <c r="K75" s="54"/>
      <c r="O75" s="29">
        <f>I67+I68+I70+I71+I72+I73</f>
        <v>835.81999999999994</v>
      </c>
      <c r="P75" s="29">
        <f>K67+K68+K70+K71+K72+K73</f>
        <v>12786.730000000001</v>
      </c>
      <c r="X75">
        <f>IF(Source!BI31&lt;=1,I67+I68+I70+I71+I72+I73-0, 0)</f>
        <v>0</v>
      </c>
      <c r="Y75">
        <f>IF(Source!BI31=2,I67+I68+I70+I71+I72+I73-0, 0)</f>
        <v>835.81999999999994</v>
      </c>
      <c r="Z75">
        <f>IF(Source!BI31=3,I67+I68+I70+I71+I72+I73-0, 0)</f>
        <v>0</v>
      </c>
      <c r="AA75">
        <f>IF(Source!BI31=4,I67+I68+I70+I71+I72+I73,0)</f>
        <v>0</v>
      </c>
    </row>
    <row r="76" spans="1:27" ht="85.5" x14ac:dyDescent="0.2">
      <c r="A76" s="22" t="str">
        <f>Source!E32</f>
        <v>5</v>
      </c>
      <c r="B76" s="23" t="str">
        <f>Source!F32</f>
        <v>4.8-79-3</v>
      </c>
      <c r="C76" s="23" t="s">
        <v>52</v>
      </c>
      <c r="D76" s="24" t="str">
        <f>Source!H32</f>
        <v>100 м</v>
      </c>
      <c r="E76" s="10">
        <f>Source!I32</f>
        <v>0.16</v>
      </c>
      <c r="F76" s="26"/>
      <c r="G76" s="25"/>
      <c r="H76" s="10"/>
      <c r="I76" s="27"/>
      <c r="J76" s="10"/>
      <c r="K76" s="27"/>
      <c r="Q76">
        <f>ROUND((Source!DN32/100)*ROUND((ROUND((Source!AF32*Source!AV32*Source!I32),2)),2), 2)</f>
        <v>46.36</v>
      </c>
      <c r="R76">
        <f>Source!X32</f>
        <v>777.26</v>
      </c>
      <c r="S76">
        <f>ROUND((Source!DO32/100)*ROUND((ROUND((Source!AF32*Source!AV32*Source!I32),2)),2), 2)</f>
        <v>27.25</v>
      </c>
      <c r="T76">
        <f>Source!Y32</f>
        <v>413.87</v>
      </c>
      <c r="U76">
        <f>ROUND((175/100)*ROUND((ROUND((Source!AE32*Source!AV32*Source!I32),2)),2), 2)</f>
        <v>26.92</v>
      </c>
      <c r="V76">
        <f>ROUND((157/100)*ROUND(ROUND((ROUND((Source!AE32*Source!AV32*Source!I32),2)*Source!BS32),2), 2), 2)</f>
        <v>599.32000000000005</v>
      </c>
    </row>
    <row r="77" spans="1:27" x14ac:dyDescent="0.2">
      <c r="C77" s="31" t="str">
        <f>"Объем: "&amp;Source!I32&amp;"=16/"&amp;"100"</f>
        <v>Объем: 0,16=16/100</v>
      </c>
    </row>
    <row r="78" spans="1:27" ht="14.25" x14ac:dyDescent="0.2">
      <c r="A78" s="22"/>
      <c r="B78" s="23"/>
      <c r="C78" s="23" t="s">
        <v>270</v>
      </c>
      <c r="D78" s="24"/>
      <c r="E78" s="10"/>
      <c r="F78" s="26">
        <f>Source!AO32</f>
        <v>198.51</v>
      </c>
      <c r="G78" s="25" t="str">
        <f>Source!DG32</f>
        <v>)*1,2</v>
      </c>
      <c r="H78" s="10">
        <f>Source!AV32</f>
        <v>1.0669999999999999</v>
      </c>
      <c r="I78" s="27">
        <f>ROUND((ROUND((Source!AF32*Source!AV32*Source!I32),2)),2)</f>
        <v>40.67</v>
      </c>
      <c r="J78" s="10">
        <f>IF(Source!BA32&lt;&gt; 0, Source!BA32, 1)</f>
        <v>24.82</v>
      </c>
      <c r="K78" s="27">
        <f>Source!S32</f>
        <v>1009.43</v>
      </c>
      <c r="W78">
        <f>I78</f>
        <v>40.67</v>
      </c>
    </row>
    <row r="79" spans="1:27" ht="14.25" x14ac:dyDescent="0.2">
      <c r="A79" s="22"/>
      <c r="B79" s="23"/>
      <c r="C79" s="23" t="s">
        <v>271</v>
      </c>
      <c r="D79" s="24"/>
      <c r="E79" s="10"/>
      <c r="F79" s="26">
        <f>Source!AM32</f>
        <v>463.73</v>
      </c>
      <c r="G79" s="25" t="str">
        <f>Source!DE32</f>
        <v>)*1,2</v>
      </c>
      <c r="H79" s="10">
        <f>Source!AV32</f>
        <v>1.0669999999999999</v>
      </c>
      <c r="I79" s="27">
        <f>(ROUND((ROUND((((Source!ET32*1.2))*Source!AV32*Source!I32),2)),2)+ROUND((ROUND(((Source!AE32-((Source!EU32*1.2)))*Source!AV32*Source!I32),2)),2))</f>
        <v>95</v>
      </c>
      <c r="J79" s="10">
        <f>IF(Source!BB32&lt;&gt; 0, Source!BB32, 1)</f>
        <v>5.52</v>
      </c>
      <c r="K79" s="27">
        <f>Source!Q32</f>
        <v>524.4</v>
      </c>
    </row>
    <row r="80" spans="1:27" ht="14.25" x14ac:dyDescent="0.2">
      <c r="A80" s="22"/>
      <c r="B80" s="23"/>
      <c r="C80" s="23" t="s">
        <v>272</v>
      </c>
      <c r="D80" s="24"/>
      <c r="E80" s="10"/>
      <c r="F80" s="26">
        <f>Source!AN32</f>
        <v>75.08</v>
      </c>
      <c r="G80" s="25" t="str">
        <f>Source!DF32</f>
        <v>)*1,2</v>
      </c>
      <c r="H80" s="10">
        <f>Source!AV32</f>
        <v>1.0669999999999999</v>
      </c>
      <c r="I80" s="28">
        <f>ROUND((ROUND((Source!AE32*Source!AV32*Source!I32),2)),2)</f>
        <v>15.38</v>
      </c>
      <c r="J80" s="10">
        <f>IF(Source!BS32&lt;&gt; 0, Source!BS32, 1)</f>
        <v>24.82</v>
      </c>
      <c r="K80" s="28">
        <f>Source!R32</f>
        <v>381.73</v>
      </c>
      <c r="W80">
        <f>I80</f>
        <v>15.38</v>
      </c>
    </row>
    <row r="81" spans="1:27" ht="14.25" x14ac:dyDescent="0.2">
      <c r="A81" s="22"/>
      <c r="B81" s="23"/>
      <c r="C81" s="23" t="s">
        <v>273</v>
      </c>
      <c r="D81" s="24"/>
      <c r="E81" s="10"/>
      <c r="F81" s="26">
        <f>Source!AL32</f>
        <v>27.23</v>
      </c>
      <c r="G81" s="25" t="str">
        <f>Source!DD32</f>
        <v/>
      </c>
      <c r="H81" s="10">
        <f>Source!AW32</f>
        <v>1.081</v>
      </c>
      <c r="I81" s="27">
        <f>ROUND((ROUND((Source!AC32*Source!AW32*Source!I32),2)),2)</f>
        <v>4.71</v>
      </c>
      <c r="J81" s="10">
        <f>IF(Source!BC32&lt;&gt; 0, Source!BC32, 1)</f>
        <v>5.29</v>
      </c>
      <c r="K81" s="27">
        <f>Source!P32</f>
        <v>24.92</v>
      </c>
    </row>
    <row r="82" spans="1:27" ht="14.25" x14ac:dyDescent="0.2">
      <c r="A82" s="22"/>
      <c r="B82" s="23"/>
      <c r="C82" s="23" t="s">
        <v>274</v>
      </c>
      <c r="D82" s="24" t="s">
        <v>275</v>
      </c>
      <c r="E82" s="10">
        <f>Source!DN32</f>
        <v>114</v>
      </c>
      <c r="F82" s="26"/>
      <c r="G82" s="25"/>
      <c r="H82" s="10"/>
      <c r="I82" s="27">
        <f>SUM(Q76:Q81)</f>
        <v>46.36</v>
      </c>
      <c r="J82" s="10">
        <f>Source!BZ32</f>
        <v>77</v>
      </c>
      <c r="K82" s="27">
        <f>SUM(R76:R81)</f>
        <v>777.26</v>
      </c>
    </row>
    <row r="83" spans="1:27" ht="14.25" x14ac:dyDescent="0.2">
      <c r="A83" s="22"/>
      <c r="B83" s="23"/>
      <c r="C83" s="23" t="s">
        <v>276</v>
      </c>
      <c r="D83" s="24" t="s">
        <v>275</v>
      </c>
      <c r="E83" s="10">
        <f>Source!DO32</f>
        <v>67</v>
      </c>
      <c r="F83" s="26"/>
      <c r="G83" s="25"/>
      <c r="H83" s="10"/>
      <c r="I83" s="27">
        <f>SUM(S76:S82)</f>
        <v>27.25</v>
      </c>
      <c r="J83" s="10">
        <f>Source!CA32</f>
        <v>41</v>
      </c>
      <c r="K83" s="27">
        <f>SUM(T76:T82)</f>
        <v>413.87</v>
      </c>
    </row>
    <row r="84" spans="1:27" ht="14.25" x14ac:dyDescent="0.2">
      <c r="A84" s="22"/>
      <c r="B84" s="23"/>
      <c r="C84" s="23" t="s">
        <v>277</v>
      </c>
      <c r="D84" s="24" t="s">
        <v>275</v>
      </c>
      <c r="E84" s="10">
        <f>175</f>
        <v>175</v>
      </c>
      <c r="F84" s="26"/>
      <c r="G84" s="25"/>
      <c r="H84" s="10"/>
      <c r="I84" s="27">
        <f>SUM(U76:U83)</f>
        <v>26.92</v>
      </c>
      <c r="J84" s="10">
        <f>157</f>
        <v>157</v>
      </c>
      <c r="K84" s="27">
        <f>SUM(V76:V83)</f>
        <v>599.32000000000005</v>
      </c>
    </row>
    <row r="85" spans="1:27" ht="14.25" x14ac:dyDescent="0.2">
      <c r="A85" s="22"/>
      <c r="B85" s="23"/>
      <c r="C85" s="23" t="s">
        <v>278</v>
      </c>
      <c r="D85" s="24" t="s">
        <v>279</v>
      </c>
      <c r="E85" s="10">
        <f>Source!AQ32</f>
        <v>16.100000000000001</v>
      </c>
      <c r="F85" s="26"/>
      <c r="G85" s="25" t="str">
        <f>Source!DI32</f>
        <v>)*1,2</v>
      </c>
      <c r="H85" s="10">
        <f>Source!AV32</f>
        <v>1.0669999999999999</v>
      </c>
      <c r="I85" s="27">
        <f>Source!U32</f>
        <v>3.2983103999999996</v>
      </c>
      <c r="J85" s="10"/>
      <c r="K85" s="27"/>
    </row>
    <row r="86" spans="1:27" ht="15" x14ac:dyDescent="0.25">
      <c r="A86" s="30"/>
      <c r="B86" s="30"/>
      <c r="C86" s="30"/>
      <c r="D86" s="30"/>
      <c r="E86" s="30"/>
      <c r="F86" s="30"/>
      <c r="G86" s="30"/>
      <c r="H86" s="54">
        <f>I78+I79+I81+I82+I83+I84</f>
        <v>240.91000000000003</v>
      </c>
      <c r="I86" s="54"/>
      <c r="J86" s="54">
        <f>K78+K79+K81+K82+K83+K84</f>
        <v>3349.2000000000003</v>
      </c>
      <c r="K86" s="54"/>
      <c r="O86" s="29">
        <f>I78+I79+I81+I82+I83+I84</f>
        <v>240.91000000000003</v>
      </c>
      <c r="P86" s="29">
        <f>K78+K79+K81+K82+K83+K84</f>
        <v>3349.2000000000003</v>
      </c>
      <c r="X86">
        <f>IF(Source!BI32&lt;=1,I78+I79+I81+I82+I83+I84-0, 0)</f>
        <v>0</v>
      </c>
      <c r="Y86">
        <f>IF(Source!BI32=2,I78+I79+I81+I82+I83+I84-0, 0)</f>
        <v>240.91000000000003</v>
      </c>
      <c r="Z86">
        <f>IF(Source!BI32=3,I78+I79+I81+I82+I83+I84-0, 0)</f>
        <v>0</v>
      </c>
      <c r="AA86">
        <f>IF(Source!BI32=4,I78+I79+I81+I82+I83+I84,0)</f>
        <v>0</v>
      </c>
    </row>
    <row r="87" spans="1:27" ht="85.5" x14ac:dyDescent="0.2">
      <c r="A87" s="22" t="str">
        <f>Source!E33</f>
        <v>6</v>
      </c>
      <c r="B87" s="23" t="str">
        <f>Source!F33</f>
        <v>4.8-79-3</v>
      </c>
      <c r="C87" s="23" t="s">
        <v>57</v>
      </c>
      <c r="D87" s="24" t="str">
        <f>Source!H33</f>
        <v>100 м</v>
      </c>
      <c r="E87" s="10">
        <f>Source!I33</f>
        <v>0.16</v>
      </c>
      <c r="F87" s="26"/>
      <c r="G87" s="25"/>
      <c r="H87" s="10"/>
      <c r="I87" s="27"/>
      <c r="J87" s="10"/>
      <c r="K87" s="27"/>
      <c r="Q87">
        <f>ROUND((Source!DN33/100)*ROUND((ROUND((Source!AF33*Source!AV33*Source!I33),2)),2), 2)</f>
        <v>18.55</v>
      </c>
      <c r="R87">
        <f>Source!X33</f>
        <v>310.94</v>
      </c>
      <c r="S87">
        <f>ROUND((Source!DO33/100)*ROUND((ROUND((Source!AF33*Source!AV33*Source!I33),2)),2), 2)</f>
        <v>10.9</v>
      </c>
      <c r="T87">
        <f>Source!Y33</f>
        <v>165.57</v>
      </c>
      <c r="U87">
        <f>ROUND((175/100)*ROUND((ROUND((Source!AE33*Source!AV33*Source!I33),2)),2), 2)</f>
        <v>10.76</v>
      </c>
      <c r="V87">
        <f>ROUND((157/100)*ROUND(ROUND((ROUND((Source!AE33*Source!AV33*Source!I33),2)*Source!BS33),2), 2), 2)</f>
        <v>239.64</v>
      </c>
    </row>
    <row r="88" spans="1:27" x14ac:dyDescent="0.2">
      <c r="C88" s="31" t="str">
        <f>"Объем: "&amp;Source!I33&amp;"=(16)/"&amp;"100"</f>
        <v>Объем: 0,16=(16)/100</v>
      </c>
    </row>
    <row r="89" spans="1:27" ht="28.5" x14ac:dyDescent="0.2">
      <c r="A89" s="22"/>
      <c r="B89" s="23"/>
      <c r="C89" s="23" t="s">
        <v>270</v>
      </c>
      <c r="D89" s="24"/>
      <c r="E89" s="10"/>
      <c r="F89" s="26">
        <f>Source!AO33</f>
        <v>198.51</v>
      </c>
      <c r="G89" s="25" t="str">
        <f>Source!DG33</f>
        <v>)*0,4)*1,2</v>
      </c>
      <c r="H89" s="10">
        <f>Source!AV33</f>
        <v>1.0669999999999999</v>
      </c>
      <c r="I89" s="27">
        <f>ROUND((ROUND((Source!AF33*Source!AV33*Source!I33),2)),2)</f>
        <v>16.27</v>
      </c>
      <c r="J89" s="10">
        <f>IF(Source!BA33&lt;&gt; 0, Source!BA33, 1)</f>
        <v>24.82</v>
      </c>
      <c r="K89" s="27">
        <f>Source!S33</f>
        <v>403.82</v>
      </c>
      <c r="W89">
        <f>I89</f>
        <v>16.27</v>
      </c>
    </row>
    <row r="90" spans="1:27" ht="28.5" x14ac:dyDescent="0.2">
      <c r="A90" s="22"/>
      <c r="B90" s="23"/>
      <c r="C90" s="23" t="s">
        <v>271</v>
      </c>
      <c r="D90" s="24"/>
      <c r="E90" s="10"/>
      <c r="F90" s="26">
        <f>Source!AM33</f>
        <v>463.73</v>
      </c>
      <c r="G90" s="25" t="str">
        <f>Source!DE33</f>
        <v>)*0,4)*1,2</v>
      </c>
      <c r="H90" s="10">
        <f>Source!AV33</f>
        <v>1.0669999999999999</v>
      </c>
      <c r="I90" s="27">
        <f>(ROUND((ROUND(((((Source!ET33*0.4)*1.2))*Source!AV33*Source!I33),2)),2)+ROUND((ROUND(((Source!AE33-(((Source!EU33*0.4)*1.2)))*Source!AV33*Source!I33),2)),2))</f>
        <v>38</v>
      </c>
      <c r="J90" s="10">
        <f>IF(Source!BB33&lt;&gt; 0, Source!BB33, 1)</f>
        <v>5.52</v>
      </c>
      <c r="K90" s="27">
        <f>Source!Q33</f>
        <v>209.76</v>
      </c>
    </row>
    <row r="91" spans="1:27" ht="28.5" x14ac:dyDescent="0.2">
      <c r="A91" s="22"/>
      <c r="B91" s="23"/>
      <c r="C91" s="23" t="s">
        <v>272</v>
      </c>
      <c r="D91" s="24"/>
      <c r="E91" s="10"/>
      <c r="F91" s="26">
        <f>Source!AN33</f>
        <v>75.08</v>
      </c>
      <c r="G91" s="25" t="str">
        <f>Source!DF33</f>
        <v>)*0,4)*1,2</v>
      </c>
      <c r="H91" s="10">
        <f>Source!AV33</f>
        <v>1.0669999999999999</v>
      </c>
      <c r="I91" s="28">
        <f>ROUND((ROUND((Source!AE33*Source!AV33*Source!I33),2)),2)</f>
        <v>6.15</v>
      </c>
      <c r="J91" s="10">
        <f>IF(Source!BS33&lt;&gt; 0, Source!BS33, 1)</f>
        <v>24.82</v>
      </c>
      <c r="K91" s="28">
        <f>Source!R33</f>
        <v>152.63999999999999</v>
      </c>
      <c r="W91">
        <f>I91</f>
        <v>6.15</v>
      </c>
    </row>
    <row r="92" spans="1:27" ht="14.25" x14ac:dyDescent="0.2">
      <c r="A92" s="22"/>
      <c r="B92" s="23"/>
      <c r="C92" s="23" t="s">
        <v>274</v>
      </c>
      <c r="D92" s="24" t="s">
        <v>275</v>
      </c>
      <c r="E92" s="10">
        <f>Source!DN33</f>
        <v>114</v>
      </c>
      <c r="F92" s="26"/>
      <c r="G92" s="25"/>
      <c r="H92" s="10"/>
      <c r="I92" s="27">
        <f>SUM(Q87:Q91)</f>
        <v>18.55</v>
      </c>
      <c r="J92" s="10">
        <f>Source!BZ33</f>
        <v>77</v>
      </c>
      <c r="K92" s="27">
        <f>SUM(R87:R91)</f>
        <v>310.94</v>
      </c>
    </row>
    <row r="93" spans="1:27" ht="14.25" x14ac:dyDescent="0.2">
      <c r="A93" s="22"/>
      <c r="B93" s="23"/>
      <c r="C93" s="23" t="s">
        <v>276</v>
      </c>
      <c r="D93" s="24" t="s">
        <v>275</v>
      </c>
      <c r="E93" s="10">
        <f>Source!DO33</f>
        <v>67</v>
      </c>
      <c r="F93" s="26"/>
      <c r="G93" s="25"/>
      <c r="H93" s="10"/>
      <c r="I93" s="27">
        <f>SUM(S87:S92)</f>
        <v>10.9</v>
      </c>
      <c r="J93" s="10">
        <f>Source!CA33</f>
        <v>41</v>
      </c>
      <c r="K93" s="27">
        <f>SUM(T87:T92)</f>
        <v>165.57</v>
      </c>
    </row>
    <row r="94" spans="1:27" ht="14.25" x14ac:dyDescent="0.2">
      <c r="A94" s="22"/>
      <c r="B94" s="23"/>
      <c r="C94" s="23" t="s">
        <v>277</v>
      </c>
      <c r="D94" s="24" t="s">
        <v>275</v>
      </c>
      <c r="E94" s="10">
        <f>175</f>
        <v>175</v>
      </c>
      <c r="F94" s="26"/>
      <c r="G94" s="25"/>
      <c r="H94" s="10"/>
      <c r="I94" s="27">
        <f>SUM(U87:U93)</f>
        <v>10.76</v>
      </c>
      <c r="J94" s="10">
        <f>157</f>
        <v>157</v>
      </c>
      <c r="K94" s="27">
        <f>SUM(V87:V93)</f>
        <v>239.64</v>
      </c>
    </row>
    <row r="95" spans="1:27" ht="28.5" x14ac:dyDescent="0.2">
      <c r="A95" s="22"/>
      <c r="B95" s="23"/>
      <c r="C95" s="23" t="s">
        <v>278</v>
      </c>
      <c r="D95" s="24" t="s">
        <v>279</v>
      </c>
      <c r="E95" s="10">
        <f>Source!AQ33</f>
        <v>16.100000000000001</v>
      </c>
      <c r="F95" s="26"/>
      <c r="G95" s="25" t="str">
        <f>Source!DI33</f>
        <v>)*0,4)*1,2</v>
      </c>
      <c r="H95" s="10">
        <f>Source!AV33</f>
        <v>1.0669999999999999</v>
      </c>
      <c r="I95" s="27">
        <f>Source!U33</f>
        <v>1.3193241600000003</v>
      </c>
      <c r="J95" s="10"/>
      <c r="K95" s="27"/>
    </row>
    <row r="96" spans="1:27" ht="15" x14ac:dyDescent="0.25">
      <c r="A96" s="30"/>
      <c r="B96" s="30"/>
      <c r="C96" s="30"/>
      <c r="D96" s="30"/>
      <c r="E96" s="30"/>
      <c r="F96" s="30"/>
      <c r="G96" s="30"/>
      <c r="H96" s="54">
        <f>I89+I90+I92+I93+I94</f>
        <v>94.48</v>
      </c>
      <c r="I96" s="54"/>
      <c r="J96" s="54">
        <f>K89+K90+K92+K93+K94</f>
        <v>1329.73</v>
      </c>
      <c r="K96" s="54"/>
      <c r="O96" s="29">
        <f>I89+I90+I92+I93+I94</f>
        <v>94.48</v>
      </c>
      <c r="P96" s="29">
        <f>K89+K90+K92+K93+K94</f>
        <v>1329.73</v>
      </c>
      <c r="X96">
        <f>IF(Source!BI33&lt;=1,I89+I90+I92+I93+I94-0, 0)</f>
        <v>0</v>
      </c>
      <c r="Y96">
        <f>IF(Source!BI33=2,I89+I90+I92+I93+I94-0, 0)</f>
        <v>94.48</v>
      </c>
      <c r="Z96">
        <f>IF(Source!BI33=3,I89+I90+I92+I93+I94-0, 0)</f>
        <v>0</v>
      </c>
      <c r="AA96">
        <f>IF(Source!BI33=4,I89+I90+I92+I93+I94,0)</f>
        <v>0</v>
      </c>
    </row>
    <row r="97" spans="1:27" ht="85.5" x14ac:dyDescent="0.2">
      <c r="A97" s="22" t="str">
        <f>Source!E34</f>
        <v>7</v>
      </c>
      <c r="B97" s="23" t="str">
        <f>Source!F34</f>
        <v>4.8-79-4</v>
      </c>
      <c r="C97" s="23" t="s">
        <v>62</v>
      </c>
      <c r="D97" s="24" t="str">
        <f>Source!H34</f>
        <v>100 м</v>
      </c>
      <c r="E97" s="10">
        <f>Source!I34</f>
        <v>0.32</v>
      </c>
      <c r="F97" s="26"/>
      <c r="G97" s="25"/>
      <c r="H97" s="10"/>
      <c r="I97" s="27"/>
      <c r="J97" s="10"/>
      <c r="K97" s="27"/>
      <c r="Q97">
        <f>ROUND((Source!DN34/100)*ROUND((ROUND((Source!AF34*Source!AV34*Source!I34),2)),2), 2)</f>
        <v>125.55</v>
      </c>
      <c r="R97">
        <f>Source!X34</f>
        <v>2104.7399999999998</v>
      </c>
      <c r="S97">
        <f>ROUND((Source!DO34/100)*ROUND((ROUND((Source!AF34*Source!AV34*Source!I34),2)),2), 2)</f>
        <v>73.790000000000006</v>
      </c>
      <c r="T97">
        <f>Source!Y34</f>
        <v>1120.71</v>
      </c>
      <c r="U97">
        <f>ROUND((175/100)*ROUND((ROUND((Source!AE34*Source!AV34*Source!I34),2)),2), 2)</f>
        <v>77.459999999999994</v>
      </c>
      <c r="V97">
        <f>ROUND((157/100)*ROUND(ROUND((ROUND((Source!AE34*Source!AV34*Source!I34),2)*Source!BS34),2), 2), 2)</f>
        <v>1724.69</v>
      </c>
    </row>
    <row r="98" spans="1:27" x14ac:dyDescent="0.2">
      <c r="C98" s="31" t="str">
        <f>"Объем: "&amp;Source!I34&amp;"=32/"&amp;"100"</f>
        <v>Объем: 0,32=32/100</v>
      </c>
    </row>
    <row r="99" spans="1:27" ht="14.25" x14ac:dyDescent="0.2">
      <c r="A99" s="22"/>
      <c r="B99" s="23"/>
      <c r="C99" s="23" t="s">
        <v>270</v>
      </c>
      <c r="D99" s="24"/>
      <c r="E99" s="10"/>
      <c r="F99" s="26">
        <f>Source!AO34</f>
        <v>268.79000000000002</v>
      </c>
      <c r="G99" s="25" t="str">
        <f>Source!DG34</f>
        <v>)*1,2</v>
      </c>
      <c r="H99" s="10">
        <f>Source!AV34</f>
        <v>1.0669999999999999</v>
      </c>
      <c r="I99" s="27">
        <f>ROUND((ROUND((Source!AF34*Source!AV34*Source!I34),2)),2)</f>
        <v>110.13</v>
      </c>
      <c r="J99" s="10">
        <f>IF(Source!BA34&lt;&gt; 0, Source!BA34, 1)</f>
        <v>24.82</v>
      </c>
      <c r="K99" s="27">
        <f>Source!S34</f>
        <v>2733.43</v>
      </c>
      <c r="W99">
        <f>I99</f>
        <v>110.13</v>
      </c>
    </row>
    <row r="100" spans="1:27" ht="14.25" x14ac:dyDescent="0.2">
      <c r="A100" s="22"/>
      <c r="B100" s="23"/>
      <c r="C100" s="23" t="s">
        <v>271</v>
      </c>
      <c r="D100" s="24"/>
      <c r="E100" s="10"/>
      <c r="F100" s="26">
        <f>Source!AM34</f>
        <v>652.54999999999995</v>
      </c>
      <c r="G100" s="25" t="str">
        <f>Source!DE34</f>
        <v>)*1,2</v>
      </c>
      <c r="H100" s="10">
        <f>Source!AV34</f>
        <v>1.0669999999999999</v>
      </c>
      <c r="I100" s="27">
        <f>(ROUND((ROUND((((Source!ET34*1.2))*Source!AV34*Source!I34),2)),2)+ROUND((ROUND(((Source!AE34-((Source!EU34*1.2)))*Source!AV34*Source!I34),2)),2))</f>
        <v>267.37</v>
      </c>
      <c r="J100" s="10">
        <f>IF(Source!BB34&lt;&gt; 0, Source!BB34, 1)</f>
        <v>5.69</v>
      </c>
      <c r="K100" s="27">
        <f>Source!Q34</f>
        <v>1521.34</v>
      </c>
    </row>
    <row r="101" spans="1:27" ht="14.25" x14ac:dyDescent="0.2">
      <c r="A101" s="22"/>
      <c r="B101" s="23"/>
      <c r="C101" s="23" t="s">
        <v>272</v>
      </c>
      <c r="D101" s="24"/>
      <c r="E101" s="10"/>
      <c r="F101" s="26">
        <f>Source!AN34</f>
        <v>108.03</v>
      </c>
      <c r="G101" s="25" t="str">
        <f>Source!DF34</f>
        <v>)*1,2</v>
      </c>
      <c r="H101" s="10">
        <f>Source!AV34</f>
        <v>1.0669999999999999</v>
      </c>
      <c r="I101" s="28">
        <f>ROUND((ROUND((Source!AE34*Source!AV34*Source!I34),2)),2)</f>
        <v>44.26</v>
      </c>
      <c r="J101" s="10">
        <f>IF(Source!BS34&lt;&gt; 0, Source!BS34, 1)</f>
        <v>24.82</v>
      </c>
      <c r="K101" s="28">
        <f>Source!R34</f>
        <v>1098.53</v>
      </c>
      <c r="W101">
        <f>I101</f>
        <v>44.26</v>
      </c>
    </row>
    <row r="102" spans="1:27" ht="14.25" x14ac:dyDescent="0.2">
      <c r="A102" s="22"/>
      <c r="B102" s="23"/>
      <c r="C102" s="23" t="s">
        <v>273</v>
      </c>
      <c r="D102" s="24"/>
      <c r="E102" s="10"/>
      <c r="F102" s="26">
        <f>Source!AL34</f>
        <v>28.07</v>
      </c>
      <c r="G102" s="25" t="str">
        <f>Source!DD34</f>
        <v/>
      </c>
      <c r="H102" s="10">
        <f>Source!AW34</f>
        <v>1.081</v>
      </c>
      <c r="I102" s="27">
        <f>ROUND((ROUND((Source!AC34*Source!AW34*Source!I34),2)),2)</f>
        <v>9.7100000000000009</v>
      </c>
      <c r="J102" s="10">
        <f>IF(Source!BC34&lt;&gt; 0, Source!BC34, 1)</f>
        <v>5.29</v>
      </c>
      <c r="K102" s="27">
        <f>Source!P34</f>
        <v>51.37</v>
      </c>
    </row>
    <row r="103" spans="1:27" ht="14.25" x14ac:dyDescent="0.2">
      <c r="A103" s="22"/>
      <c r="B103" s="23"/>
      <c r="C103" s="23" t="s">
        <v>274</v>
      </c>
      <c r="D103" s="24" t="s">
        <v>275</v>
      </c>
      <c r="E103" s="10">
        <f>Source!DN34</f>
        <v>114</v>
      </c>
      <c r="F103" s="26"/>
      <c r="G103" s="25"/>
      <c r="H103" s="10"/>
      <c r="I103" s="27">
        <f>SUM(Q97:Q102)</f>
        <v>125.55</v>
      </c>
      <c r="J103" s="10">
        <f>Source!BZ34</f>
        <v>77</v>
      </c>
      <c r="K103" s="27">
        <f>SUM(R97:R102)</f>
        <v>2104.7399999999998</v>
      </c>
    </row>
    <row r="104" spans="1:27" ht="14.25" x14ac:dyDescent="0.2">
      <c r="A104" s="22"/>
      <c r="B104" s="23"/>
      <c r="C104" s="23" t="s">
        <v>276</v>
      </c>
      <c r="D104" s="24" t="s">
        <v>275</v>
      </c>
      <c r="E104" s="10">
        <f>Source!DO34</f>
        <v>67</v>
      </c>
      <c r="F104" s="26"/>
      <c r="G104" s="25"/>
      <c r="H104" s="10"/>
      <c r="I104" s="27">
        <f>SUM(S97:S103)</f>
        <v>73.790000000000006</v>
      </c>
      <c r="J104" s="10">
        <f>Source!CA34</f>
        <v>41</v>
      </c>
      <c r="K104" s="27">
        <f>SUM(T97:T103)</f>
        <v>1120.71</v>
      </c>
    </row>
    <row r="105" spans="1:27" ht="14.25" x14ac:dyDescent="0.2">
      <c r="A105" s="22"/>
      <c r="B105" s="23"/>
      <c r="C105" s="23" t="s">
        <v>277</v>
      </c>
      <c r="D105" s="24" t="s">
        <v>275</v>
      </c>
      <c r="E105" s="10">
        <f>175</f>
        <v>175</v>
      </c>
      <c r="F105" s="26"/>
      <c r="G105" s="25"/>
      <c r="H105" s="10"/>
      <c r="I105" s="27">
        <f>SUM(U97:U104)</f>
        <v>77.459999999999994</v>
      </c>
      <c r="J105" s="10">
        <f>157</f>
        <v>157</v>
      </c>
      <c r="K105" s="27">
        <f>SUM(V97:V104)</f>
        <v>1724.69</v>
      </c>
    </row>
    <row r="106" spans="1:27" ht="14.25" x14ac:dyDescent="0.2">
      <c r="A106" s="22"/>
      <c r="B106" s="23"/>
      <c r="C106" s="23" t="s">
        <v>278</v>
      </c>
      <c r="D106" s="24" t="s">
        <v>279</v>
      </c>
      <c r="E106" s="10">
        <f>Source!AQ34</f>
        <v>21.8</v>
      </c>
      <c r="F106" s="26"/>
      <c r="G106" s="25" t="str">
        <f>Source!DI34</f>
        <v>)*1,2</v>
      </c>
      <c r="H106" s="10">
        <f>Source!AV34</f>
        <v>1.0669999999999999</v>
      </c>
      <c r="I106" s="27">
        <f>Source!U34</f>
        <v>8.9320704000000006</v>
      </c>
      <c r="J106" s="10"/>
      <c r="K106" s="27"/>
    </row>
    <row r="107" spans="1:27" ht="15" x14ac:dyDescent="0.25">
      <c r="A107" s="30"/>
      <c r="B107" s="30"/>
      <c r="C107" s="30"/>
      <c r="D107" s="30"/>
      <c r="E107" s="30"/>
      <c r="F107" s="30"/>
      <c r="G107" s="30"/>
      <c r="H107" s="54">
        <f>I99+I100+I102+I103+I104+I105</f>
        <v>664.01</v>
      </c>
      <c r="I107" s="54"/>
      <c r="J107" s="54">
        <f>K99+K100+K102+K103+K104+K105</f>
        <v>9256.2799999999988</v>
      </c>
      <c r="K107" s="54"/>
      <c r="O107" s="29">
        <f>I99+I100+I102+I103+I104+I105</f>
        <v>664.01</v>
      </c>
      <c r="P107" s="29">
        <f>K99+K100+K102+K103+K104+K105</f>
        <v>9256.2799999999988</v>
      </c>
      <c r="X107">
        <f>IF(Source!BI34&lt;=1,I99+I100+I102+I103+I104+I105-0, 0)</f>
        <v>0</v>
      </c>
      <c r="Y107">
        <f>IF(Source!BI34=2,I99+I100+I102+I103+I104+I105-0, 0)</f>
        <v>664.01</v>
      </c>
      <c r="Z107">
        <f>IF(Source!BI34=3,I99+I100+I102+I103+I104+I105-0, 0)</f>
        <v>0</v>
      </c>
      <c r="AA107">
        <f>IF(Source!BI34=4,I99+I100+I102+I103+I104+I105,0)</f>
        <v>0</v>
      </c>
    </row>
    <row r="108" spans="1:27" ht="85.5" x14ac:dyDescent="0.2">
      <c r="A108" s="22" t="str">
        <f>Source!E35</f>
        <v>8</v>
      </c>
      <c r="B108" s="23" t="str">
        <f>Source!F35</f>
        <v>4.8-79-4</v>
      </c>
      <c r="C108" s="23" t="s">
        <v>65</v>
      </c>
      <c r="D108" s="24" t="str">
        <f>Source!H35</f>
        <v>100 м</v>
      </c>
      <c r="E108" s="10">
        <f>Source!I35</f>
        <v>0.32</v>
      </c>
      <c r="F108" s="26"/>
      <c r="G108" s="25"/>
      <c r="H108" s="10"/>
      <c r="I108" s="27"/>
      <c r="J108" s="10"/>
      <c r="K108" s="27"/>
      <c r="Q108">
        <f>ROUND((Source!DN35/100)*ROUND((ROUND((Source!AF35*Source!AV35*Source!I35),2)),2), 2)</f>
        <v>50.22</v>
      </c>
      <c r="R108">
        <f>Source!X35</f>
        <v>841.86</v>
      </c>
      <c r="S108">
        <f>ROUND((Source!DO35/100)*ROUND((ROUND((Source!AF35*Source!AV35*Source!I35),2)),2), 2)</f>
        <v>29.51</v>
      </c>
      <c r="T108">
        <f>Source!Y35</f>
        <v>448.26</v>
      </c>
      <c r="U108">
        <f>ROUND((175/100)*ROUND((ROUND((Source!AE35*Source!AV35*Source!I35),2)),2), 2)</f>
        <v>30.99</v>
      </c>
      <c r="V108">
        <f>ROUND((157/100)*ROUND(ROUND((ROUND((Source!AE35*Source!AV35*Source!I35),2)*Source!BS35),2), 2), 2)</f>
        <v>690.11</v>
      </c>
    </row>
    <row r="109" spans="1:27" x14ac:dyDescent="0.2">
      <c r="C109" s="31" t="str">
        <f>"Объем: "&amp;Source!I35&amp;"=32/"&amp;"100"</f>
        <v>Объем: 0,32=32/100</v>
      </c>
    </row>
    <row r="110" spans="1:27" ht="28.5" x14ac:dyDescent="0.2">
      <c r="A110" s="22"/>
      <c r="B110" s="23"/>
      <c r="C110" s="23" t="s">
        <v>270</v>
      </c>
      <c r="D110" s="24"/>
      <c r="E110" s="10"/>
      <c r="F110" s="26">
        <f>Source!AO35</f>
        <v>268.79000000000002</v>
      </c>
      <c r="G110" s="25" t="str">
        <f>Source!DG35</f>
        <v>)*0,4)*1,2</v>
      </c>
      <c r="H110" s="10">
        <f>Source!AV35</f>
        <v>1.0669999999999999</v>
      </c>
      <c r="I110" s="27">
        <f>ROUND((ROUND((Source!AF35*Source!AV35*Source!I35),2)),2)</f>
        <v>44.05</v>
      </c>
      <c r="J110" s="10">
        <f>IF(Source!BA35&lt;&gt; 0, Source!BA35, 1)</f>
        <v>24.82</v>
      </c>
      <c r="K110" s="27">
        <f>Source!S35</f>
        <v>1093.32</v>
      </c>
      <c r="W110">
        <f>I110</f>
        <v>44.05</v>
      </c>
    </row>
    <row r="111" spans="1:27" ht="28.5" x14ac:dyDescent="0.2">
      <c r="A111" s="22"/>
      <c r="B111" s="23"/>
      <c r="C111" s="23" t="s">
        <v>271</v>
      </c>
      <c r="D111" s="24"/>
      <c r="E111" s="10"/>
      <c r="F111" s="26">
        <f>Source!AM35</f>
        <v>652.54999999999995</v>
      </c>
      <c r="G111" s="25" t="str">
        <f>Source!DE35</f>
        <v>)*0,4)*1,2</v>
      </c>
      <c r="H111" s="10">
        <f>Source!AV35</f>
        <v>1.0669999999999999</v>
      </c>
      <c r="I111" s="27">
        <f>(ROUND((ROUND(((((Source!ET35*0.4)*1.2))*Source!AV35*Source!I35),2)),2)+ROUND((ROUND(((Source!AE35-(((Source!EU35*0.4)*1.2)))*Source!AV35*Source!I35),2)),2))</f>
        <v>106.95</v>
      </c>
      <c r="J111" s="10">
        <f>IF(Source!BB35&lt;&gt; 0, Source!BB35, 1)</f>
        <v>5.69</v>
      </c>
      <c r="K111" s="27">
        <f>Source!Q35</f>
        <v>608.54999999999995</v>
      </c>
    </row>
    <row r="112" spans="1:27" ht="28.5" x14ac:dyDescent="0.2">
      <c r="A112" s="22"/>
      <c r="B112" s="23"/>
      <c r="C112" s="23" t="s">
        <v>272</v>
      </c>
      <c r="D112" s="24"/>
      <c r="E112" s="10"/>
      <c r="F112" s="26">
        <f>Source!AN35</f>
        <v>108.03</v>
      </c>
      <c r="G112" s="25" t="str">
        <f>Source!DF35</f>
        <v>)*0,4)*1,2</v>
      </c>
      <c r="H112" s="10">
        <f>Source!AV35</f>
        <v>1.0669999999999999</v>
      </c>
      <c r="I112" s="28">
        <f>ROUND((ROUND((Source!AE35*Source!AV35*Source!I35),2)),2)</f>
        <v>17.71</v>
      </c>
      <c r="J112" s="10">
        <f>IF(Source!BS35&lt;&gt; 0, Source!BS35, 1)</f>
        <v>24.82</v>
      </c>
      <c r="K112" s="28">
        <f>Source!R35</f>
        <v>439.56</v>
      </c>
      <c r="W112">
        <f>I112</f>
        <v>17.71</v>
      </c>
    </row>
    <row r="113" spans="1:27" ht="14.25" x14ac:dyDescent="0.2">
      <c r="A113" s="22"/>
      <c r="B113" s="23"/>
      <c r="C113" s="23" t="s">
        <v>274</v>
      </c>
      <c r="D113" s="24" t="s">
        <v>275</v>
      </c>
      <c r="E113" s="10">
        <f>Source!DN35</f>
        <v>114</v>
      </c>
      <c r="F113" s="26"/>
      <c r="G113" s="25"/>
      <c r="H113" s="10"/>
      <c r="I113" s="27">
        <f>SUM(Q108:Q112)</f>
        <v>50.22</v>
      </c>
      <c r="J113" s="10">
        <f>Source!BZ35</f>
        <v>77</v>
      </c>
      <c r="K113" s="27">
        <f>SUM(R108:R112)</f>
        <v>841.86</v>
      </c>
    </row>
    <row r="114" spans="1:27" ht="14.25" x14ac:dyDescent="0.2">
      <c r="A114" s="22"/>
      <c r="B114" s="23"/>
      <c r="C114" s="23" t="s">
        <v>276</v>
      </c>
      <c r="D114" s="24" t="s">
        <v>275</v>
      </c>
      <c r="E114" s="10">
        <f>Source!DO35</f>
        <v>67</v>
      </c>
      <c r="F114" s="26"/>
      <c r="G114" s="25"/>
      <c r="H114" s="10"/>
      <c r="I114" s="27">
        <f>SUM(S108:S113)</f>
        <v>29.51</v>
      </c>
      <c r="J114" s="10">
        <f>Source!CA35</f>
        <v>41</v>
      </c>
      <c r="K114" s="27">
        <f>SUM(T108:T113)</f>
        <v>448.26</v>
      </c>
    </row>
    <row r="115" spans="1:27" ht="14.25" x14ac:dyDescent="0.2">
      <c r="A115" s="22"/>
      <c r="B115" s="23"/>
      <c r="C115" s="23" t="s">
        <v>277</v>
      </c>
      <c r="D115" s="24" t="s">
        <v>275</v>
      </c>
      <c r="E115" s="10">
        <f>175</f>
        <v>175</v>
      </c>
      <c r="F115" s="26"/>
      <c r="G115" s="25"/>
      <c r="H115" s="10"/>
      <c r="I115" s="27">
        <f>SUM(U108:U114)</f>
        <v>30.99</v>
      </c>
      <c r="J115" s="10">
        <f>157</f>
        <v>157</v>
      </c>
      <c r="K115" s="27">
        <f>SUM(V108:V114)</f>
        <v>690.11</v>
      </c>
    </row>
    <row r="116" spans="1:27" ht="28.5" x14ac:dyDescent="0.2">
      <c r="A116" s="22"/>
      <c r="B116" s="23"/>
      <c r="C116" s="23" t="s">
        <v>278</v>
      </c>
      <c r="D116" s="24" t="s">
        <v>279</v>
      </c>
      <c r="E116" s="10">
        <f>Source!AQ35</f>
        <v>21.8</v>
      </c>
      <c r="F116" s="26"/>
      <c r="G116" s="25" t="str">
        <f>Source!DI35</f>
        <v>)*0,4)*1,2</v>
      </c>
      <c r="H116" s="10">
        <f>Source!AV35</f>
        <v>1.0669999999999999</v>
      </c>
      <c r="I116" s="27">
        <f>Source!U35</f>
        <v>3.5728281599999998</v>
      </c>
      <c r="J116" s="10"/>
      <c r="K116" s="27"/>
    </row>
    <row r="117" spans="1:27" ht="15" x14ac:dyDescent="0.25">
      <c r="A117" s="30"/>
      <c r="B117" s="30"/>
      <c r="C117" s="30"/>
      <c r="D117" s="30"/>
      <c r="E117" s="30"/>
      <c r="F117" s="30"/>
      <c r="G117" s="30"/>
      <c r="H117" s="54">
        <f>I110+I111+I113+I114+I115</f>
        <v>261.71999999999997</v>
      </c>
      <c r="I117" s="54"/>
      <c r="J117" s="54">
        <f>K110+K111+K113+K114+K115</f>
        <v>3682.1</v>
      </c>
      <c r="K117" s="54"/>
      <c r="O117" s="29">
        <f>I110+I111+I113+I114+I115</f>
        <v>261.71999999999997</v>
      </c>
      <c r="P117" s="29">
        <f>K110+K111+K113+K114+K115</f>
        <v>3682.1</v>
      </c>
      <c r="X117">
        <f>IF(Source!BI35&lt;=1,I110+I111+I113+I114+I115-0, 0)</f>
        <v>0</v>
      </c>
      <c r="Y117">
        <f>IF(Source!BI35=2,I110+I111+I113+I114+I115-0, 0)</f>
        <v>261.71999999999997</v>
      </c>
      <c r="Z117">
        <f>IF(Source!BI35=3,I110+I111+I113+I114+I115-0, 0)</f>
        <v>0</v>
      </c>
      <c r="AA117">
        <f>IF(Source!BI35=4,I110+I111+I113+I114+I115,0)</f>
        <v>0</v>
      </c>
    </row>
    <row r="118" spans="1:27" ht="57" x14ac:dyDescent="0.2">
      <c r="A118" s="22" t="str">
        <f>Source!E36</f>
        <v>9</v>
      </c>
      <c r="B118" s="23" t="str">
        <f>Source!F36</f>
        <v>4.8-78-1</v>
      </c>
      <c r="C118" s="23" t="s">
        <v>68</v>
      </c>
      <c r="D118" s="24" t="str">
        <f>Source!H36</f>
        <v>100 м</v>
      </c>
      <c r="E118" s="10">
        <f>Source!I36</f>
        <v>1.04</v>
      </c>
      <c r="F118" s="26"/>
      <c r="G118" s="25"/>
      <c r="H118" s="10"/>
      <c r="I118" s="27"/>
      <c r="J118" s="10"/>
      <c r="K118" s="27"/>
      <c r="Q118">
        <f>ROUND((Source!DN36/100)*ROUND((ROUND((Source!AF36*Source!AV36*Source!I36),2)),2), 2)</f>
        <v>237.71</v>
      </c>
      <c r="R118">
        <f>Source!X36</f>
        <v>3985.11</v>
      </c>
      <c r="S118">
        <f>ROUND((Source!DO36/100)*ROUND((ROUND((Source!AF36*Source!AV36*Source!I36),2)),2), 2)</f>
        <v>139.71</v>
      </c>
      <c r="T118">
        <f>Source!Y36</f>
        <v>2121.94</v>
      </c>
      <c r="U118">
        <f>ROUND((175/100)*ROUND((ROUND((Source!AE36*Source!AV36*Source!I36),2)),2), 2)</f>
        <v>369.29</v>
      </c>
      <c r="V118">
        <f>ROUND((157/100)*ROUND(ROUND((ROUND((Source!AE36*Source!AV36*Source!I36),2)*Source!BS36),2), 2), 2)</f>
        <v>8222.91</v>
      </c>
    </row>
    <row r="119" spans="1:27" x14ac:dyDescent="0.2">
      <c r="C119" s="31" t="str">
        <f>"Объем: "&amp;Source!I36&amp;"=104/"&amp;"100"</f>
        <v>Объем: 1,04=104/100</v>
      </c>
    </row>
    <row r="120" spans="1:27" ht="14.25" x14ac:dyDescent="0.2">
      <c r="A120" s="22"/>
      <c r="B120" s="23"/>
      <c r="C120" s="23" t="s">
        <v>270</v>
      </c>
      <c r="D120" s="24"/>
      <c r="E120" s="10"/>
      <c r="F120" s="26">
        <f>Source!AO36</f>
        <v>156.59</v>
      </c>
      <c r="G120" s="25" t="str">
        <f>Source!DG36</f>
        <v>)*1,2</v>
      </c>
      <c r="H120" s="10">
        <f>Source!AV36</f>
        <v>1.0669999999999999</v>
      </c>
      <c r="I120" s="27">
        <f>ROUND((ROUND((Source!AF36*Source!AV36*Source!I36),2)),2)</f>
        <v>208.52</v>
      </c>
      <c r="J120" s="10">
        <f>IF(Source!BA36&lt;&gt; 0, Source!BA36, 1)</f>
        <v>24.82</v>
      </c>
      <c r="K120" s="27">
        <f>Source!S36</f>
        <v>5175.47</v>
      </c>
      <c r="W120">
        <f>I120</f>
        <v>208.52</v>
      </c>
    </row>
    <row r="121" spans="1:27" ht="14.25" x14ac:dyDescent="0.2">
      <c r="A121" s="22"/>
      <c r="B121" s="23"/>
      <c r="C121" s="23" t="s">
        <v>271</v>
      </c>
      <c r="D121" s="24"/>
      <c r="E121" s="10"/>
      <c r="F121" s="26">
        <f>Source!AM36</f>
        <v>828.39</v>
      </c>
      <c r="G121" s="25" t="str">
        <f>Source!DE36</f>
        <v>)*1,2</v>
      </c>
      <c r="H121" s="10">
        <f>Source!AV36</f>
        <v>1.0669999999999999</v>
      </c>
      <c r="I121" s="27">
        <f>(ROUND((ROUND((((Source!ET36*1.2))*Source!AV36*Source!I36),2)),2)+ROUND((ROUND(((Source!AE36-((Source!EU36*1.2)))*Source!AV36*Source!I36),2)),2))</f>
        <v>1103.0999999999999</v>
      </c>
      <c r="J121" s="10">
        <f>IF(Source!BB36&lt;&gt; 0, Source!BB36, 1)</f>
        <v>7.48</v>
      </c>
      <c r="K121" s="27">
        <f>Source!Q36</f>
        <v>8251.19</v>
      </c>
    </row>
    <row r="122" spans="1:27" ht="14.25" x14ac:dyDescent="0.2">
      <c r="A122" s="22"/>
      <c r="B122" s="23"/>
      <c r="C122" s="23" t="s">
        <v>272</v>
      </c>
      <c r="D122" s="24"/>
      <c r="E122" s="10"/>
      <c r="F122" s="26">
        <f>Source!AN36</f>
        <v>158.47</v>
      </c>
      <c r="G122" s="25" t="str">
        <f>Source!DF36</f>
        <v>)*1,2</v>
      </c>
      <c r="H122" s="10">
        <f>Source!AV36</f>
        <v>1.0669999999999999</v>
      </c>
      <c r="I122" s="28">
        <f>ROUND((ROUND((Source!AE36*Source!AV36*Source!I36),2)),2)</f>
        <v>211.02</v>
      </c>
      <c r="J122" s="10">
        <f>IF(Source!BS36&lt;&gt; 0, Source!BS36, 1)</f>
        <v>24.82</v>
      </c>
      <c r="K122" s="28">
        <f>Source!R36</f>
        <v>5237.5200000000004</v>
      </c>
      <c r="W122">
        <f>I122</f>
        <v>211.02</v>
      </c>
    </row>
    <row r="123" spans="1:27" ht="14.25" x14ac:dyDescent="0.2">
      <c r="A123" s="22"/>
      <c r="B123" s="23"/>
      <c r="C123" s="23" t="s">
        <v>273</v>
      </c>
      <c r="D123" s="24"/>
      <c r="E123" s="10"/>
      <c r="F123" s="26">
        <f>Source!AL36</f>
        <v>168</v>
      </c>
      <c r="G123" s="25" t="str">
        <f>Source!DD36</f>
        <v/>
      </c>
      <c r="H123" s="10">
        <f>Source!AW36</f>
        <v>1.081</v>
      </c>
      <c r="I123" s="27">
        <f>ROUND((ROUND((Source!AC36*Source!AW36*Source!I36),2)),2)</f>
        <v>188.87</v>
      </c>
      <c r="J123" s="10">
        <f>IF(Source!BC36&lt;&gt; 0, Source!BC36, 1)</f>
        <v>5.29</v>
      </c>
      <c r="K123" s="27">
        <f>Source!P36</f>
        <v>999.12</v>
      </c>
    </row>
    <row r="124" spans="1:27" ht="14.25" x14ac:dyDescent="0.2">
      <c r="A124" s="22"/>
      <c r="B124" s="23"/>
      <c r="C124" s="23" t="s">
        <v>274</v>
      </c>
      <c r="D124" s="24" t="s">
        <v>275</v>
      </c>
      <c r="E124" s="10">
        <f>Source!DN36</f>
        <v>114</v>
      </c>
      <c r="F124" s="26"/>
      <c r="G124" s="25"/>
      <c r="H124" s="10"/>
      <c r="I124" s="27">
        <f>SUM(Q118:Q123)</f>
        <v>237.71</v>
      </c>
      <c r="J124" s="10">
        <f>Source!BZ36</f>
        <v>77</v>
      </c>
      <c r="K124" s="27">
        <f>SUM(R118:R123)</f>
        <v>3985.11</v>
      </c>
    </row>
    <row r="125" spans="1:27" ht="14.25" x14ac:dyDescent="0.2">
      <c r="A125" s="22"/>
      <c r="B125" s="23"/>
      <c r="C125" s="23" t="s">
        <v>276</v>
      </c>
      <c r="D125" s="24" t="s">
        <v>275</v>
      </c>
      <c r="E125" s="10">
        <f>Source!DO36</f>
        <v>67</v>
      </c>
      <c r="F125" s="26"/>
      <c r="G125" s="25"/>
      <c r="H125" s="10"/>
      <c r="I125" s="27">
        <f>SUM(S118:S124)</f>
        <v>139.71</v>
      </c>
      <c r="J125" s="10">
        <f>Source!CA36</f>
        <v>41</v>
      </c>
      <c r="K125" s="27">
        <f>SUM(T118:T124)</f>
        <v>2121.94</v>
      </c>
    </row>
    <row r="126" spans="1:27" ht="14.25" x14ac:dyDescent="0.2">
      <c r="A126" s="22"/>
      <c r="B126" s="23"/>
      <c r="C126" s="23" t="s">
        <v>277</v>
      </c>
      <c r="D126" s="24" t="s">
        <v>275</v>
      </c>
      <c r="E126" s="10">
        <f>175</f>
        <v>175</v>
      </c>
      <c r="F126" s="26"/>
      <c r="G126" s="25"/>
      <c r="H126" s="10"/>
      <c r="I126" s="27">
        <f>SUM(U118:U125)</f>
        <v>369.29</v>
      </c>
      <c r="J126" s="10">
        <f>157</f>
        <v>157</v>
      </c>
      <c r="K126" s="27">
        <f>SUM(V118:V125)</f>
        <v>8222.91</v>
      </c>
    </row>
    <row r="127" spans="1:27" ht="14.25" x14ac:dyDescent="0.2">
      <c r="A127" s="22"/>
      <c r="B127" s="23"/>
      <c r="C127" s="23" t="s">
        <v>278</v>
      </c>
      <c r="D127" s="24" t="s">
        <v>279</v>
      </c>
      <c r="E127" s="10">
        <f>Source!AQ36</f>
        <v>12.7</v>
      </c>
      <c r="F127" s="26"/>
      <c r="G127" s="25" t="str">
        <f>Source!DI36</f>
        <v>)*1,2</v>
      </c>
      <c r="H127" s="10">
        <f>Source!AV36</f>
        <v>1.0669999999999999</v>
      </c>
      <c r="I127" s="27">
        <f>Source!U36</f>
        <v>16.911523199999998</v>
      </c>
      <c r="J127" s="10"/>
      <c r="K127" s="27"/>
    </row>
    <row r="128" spans="1:27" ht="15" x14ac:dyDescent="0.25">
      <c r="A128" s="30"/>
      <c r="B128" s="30"/>
      <c r="C128" s="30"/>
      <c r="D128" s="30"/>
      <c r="E128" s="30"/>
      <c r="F128" s="30"/>
      <c r="G128" s="30"/>
      <c r="H128" s="54">
        <f>I120+I121+I123+I124+I125+I126</f>
        <v>2247.1999999999998</v>
      </c>
      <c r="I128" s="54"/>
      <c r="J128" s="54">
        <f>K120+K121+K123+K124+K125+K126</f>
        <v>28755.739999999998</v>
      </c>
      <c r="K128" s="54"/>
      <c r="O128" s="29">
        <f>I120+I121+I123+I124+I125+I126</f>
        <v>2247.1999999999998</v>
      </c>
      <c r="P128" s="29">
        <f>K120+K121+K123+K124+K125+K126</f>
        <v>28755.739999999998</v>
      </c>
      <c r="X128">
        <f>IF(Source!BI36&lt;=1,I120+I121+I123+I124+I125+I126-0, 0)</f>
        <v>0</v>
      </c>
      <c r="Y128">
        <f>IF(Source!BI36=2,I120+I121+I123+I124+I125+I126-0, 0)</f>
        <v>2247.1999999999998</v>
      </c>
      <c r="Z128">
        <f>IF(Source!BI36=3,I120+I121+I123+I124+I125+I126-0, 0)</f>
        <v>0</v>
      </c>
      <c r="AA128">
        <f>IF(Source!BI36=4,I120+I121+I123+I124+I125+I126,0)</f>
        <v>0</v>
      </c>
    </row>
    <row r="129" spans="1:27" ht="42.75" x14ac:dyDescent="0.2">
      <c r="A129" s="22" t="str">
        <f>Source!E37</f>
        <v>10</v>
      </c>
      <c r="B129" s="23" t="str">
        <f>Source!F37</f>
        <v>4.8-76-1</v>
      </c>
      <c r="C129" s="23" t="s">
        <v>72</v>
      </c>
      <c r="D129" s="24" t="str">
        <f>Source!H37</f>
        <v>100 шт.</v>
      </c>
      <c r="E129" s="10">
        <f>Source!I37</f>
        <v>0.15</v>
      </c>
      <c r="F129" s="26"/>
      <c r="G129" s="25"/>
      <c r="H129" s="10"/>
      <c r="I129" s="27"/>
      <c r="J129" s="10"/>
      <c r="K129" s="27"/>
      <c r="Q129">
        <f>ROUND((Source!DN37/100)*ROUND((ROUND((Source!AF37*Source!AV37*Source!I37),2)),2), 2)</f>
        <v>32.130000000000003</v>
      </c>
      <c r="R129">
        <f>Source!X37</f>
        <v>538.55999999999995</v>
      </c>
      <c r="S129">
        <f>ROUND((Source!DO37/100)*ROUND((ROUND((Source!AF37*Source!AV37*Source!I37),2)),2), 2)</f>
        <v>18.88</v>
      </c>
      <c r="T129">
        <f>Source!Y37</f>
        <v>286.77</v>
      </c>
      <c r="U129">
        <f>ROUND((175/100)*ROUND((ROUND((Source!AE37*Source!AV37*Source!I37),2)),2), 2)</f>
        <v>0</v>
      </c>
      <c r="V129">
        <f>ROUND((157/100)*ROUND(ROUND((ROUND((Source!AE37*Source!AV37*Source!I37),2)*Source!BS37),2), 2), 2)</f>
        <v>0</v>
      </c>
    </row>
    <row r="130" spans="1:27" x14ac:dyDescent="0.2">
      <c r="C130" s="31" t="str">
        <f>"Объем: "&amp;Source!I37&amp;"=(15)/"&amp;"100"</f>
        <v>Объем: 0,15=(15)/100</v>
      </c>
    </row>
    <row r="131" spans="1:27" ht="14.25" x14ac:dyDescent="0.2">
      <c r="A131" s="22"/>
      <c r="B131" s="23"/>
      <c r="C131" s="23" t="s">
        <v>270</v>
      </c>
      <c r="D131" s="24"/>
      <c r="E131" s="10"/>
      <c r="F131" s="26">
        <f>Source!AO37</f>
        <v>146.72999999999999</v>
      </c>
      <c r="G131" s="25" t="str">
        <f>Source!DG37</f>
        <v>)*1,2</v>
      </c>
      <c r="H131" s="10">
        <f>Source!AV37</f>
        <v>1.0669999999999999</v>
      </c>
      <c r="I131" s="27">
        <f>ROUND((ROUND((Source!AF37*Source!AV37*Source!I37),2)),2)</f>
        <v>28.18</v>
      </c>
      <c r="J131" s="10">
        <f>IF(Source!BA37&lt;&gt; 0, Source!BA37, 1)</f>
        <v>24.82</v>
      </c>
      <c r="K131" s="27">
        <f>Source!S37</f>
        <v>699.43</v>
      </c>
      <c r="W131">
        <f>I131</f>
        <v>28.18</v>
      </c>
    </row>
    <row r="132" spans="1:27" ht="14.25" x14ac:dyDescent="0.2">
      <c r="A132" s="22"/>
      <c r="B132" s="23"/>
      <c r="C132" s="23" t="s">
        <v>273</v>
      </c>
      <c r="D132" s="24"/>
      <c r="E132" s="10"/>
      <c r="F132" s="26">
        <f>Source!AL37</f>
        <v>1.26</v>
      </c>
      <c r="G132" s="25" t="str">
        <f>Source!DD37</f>
        <v/>
      </c>
      <c r="H132" s="10">
        <f>Source!AW37</f>
        <v>1.081</v>
      </c>
      <c r="I132" s="27">
        <f>ROUND((ROUND((Source!AC37*Source!AW37*Source!I37),2)),2)</f>
        <v>0.2</v>
      </c>
      <c r="J132" s="10">
        <f>IF(Source!BC37&lt;&gt; 0, Source!BC37, 1)</f>
        <v>5.29</v>
      </c>
      <c r="K132" s="27">
        <f>Source!P37</f>
        <v>1.06</v>
      </c>
    </row>
    <row r="133" spans="1:27" ht="14.25" x14ac:dyDescent="0.2">
      <c r="A133" s="22"/>
      <c r="B133" s="23"/>
      <c r="C133" s="23" t="s">
        <v>274</v>
      </c>
      <c r="D133" s="24" t="s">
        <v>275</v>
      </c>
      <c r="E133" s="10">
        <f>Source!DN37</f>
        <v>114</v>
      </c>
      <c r="F133" s="26"/>
      <c r="G133" s="25"/>
      <c r="H133" s="10"/>
      <c r="I133" s="27">
        <f>SUM(Q129:Q132)</f>
        <v>32.130000000000003</v>
      </c>
      <c r="J133" s="10">
        <f>Source!BZ37</f>
        <v>77</v>
      </c>
      <c r="K133" s="27">
        <f>SUM(R129:R132)</f>
        <v>538.55999999999995</v>
      </c>
    </row>
    <row r="134" spans="1:27" ht="14.25" x14ac:dyDescent="0.2">
      <c r="A134" s="22"/>
      <c r="B134" s="23"/>
      <c r="C134" s="23" t="s">
        <v>276</v>
      </c>
      <c r="D134" s="24" t="s">
        <v>275</v>
      </c>
      <c r="E134" s="10">
        <f>Source!DO37</f>
        <v>67</v>
      </c>
      <c r="F134" s="26"/>
      <c r="G134" s="25"/>
      <c r="H134" s="10"/>
      <c r="I134" s="27">
        <f>SUM(S129:S133)</f>
        <v>18.88</v>
      </c>
      <c r="J134" s="10">
        <f>Source!CA37</f>
        <v>41</v>
      </c>
      <c r="K134" s="27">
        <f>SUM(T129:T133)</f>
        <v>286.77</v>
      </c>
    </row>
    <row r="135" spans="1:27" ht="14.25" x14ac:dyDescent="0.2">
      <c r="A135" s="22"/>
      <c r="B135" s="23"/>
      <c r="C135" s="23" t="s">
        <v>278</v>
      </c>
      <c r="D135" s="24" t="s">
        <v>279</v>
      </c>
      <c r="E135" s="10">
        <f>Source!AQ37</f>
        <v>11.9</v>
      </c>
      <c r="F135" s="26"/>
      <c r="G135" s="25" t="str">
        <f>Source!DI37</f>
        <v>)*1,2</v>
      </c>
      <c r="H135" s="10">
        <f>Source!AV37</f>
        <v>1.0669999999999999</v>
      </c>
      <c r="I135" s="27">
        <f>Source!U37</f>
        <v>2.2855139999999996</v>
      </c>
      <c r="J135" s="10"/>
      <c r="K135" s="27"/>
    </row>
    <row r="136" spans="1:27" ht="15" x14ac:dyDescent="0.25">
      <c r="A136" s="30"/>
      <c r="B136" s="30"/>
      <c r="C136" s="30"/>
      <c r="D136" s="30"/>
      <c r="E136" s="30"/>
      <c r="F136" s="30"/>
      <c r="G136" s="30"/>
      <c r="H136" s="54">
        <f>I131+I132+I133+I134</f>
        <v>79.39</v>
      </c>
      <c r="I136" s="54"/>
      <c r="J136" s="54">
        <f>K131+K132+K133+K134</f>
        <v>1525.8199999999997</v>
      </c>
      <c r="K136" s="54"/>
      <c r="O136" s="29">
        <f>I131+I132+I133+I134</f>
        <v>79.39</v>
      </c>
      <c r="P136" s="29">
        <f>K131+K132+K133+K134</f>
        <v>1525.8199999999997</v>
      </c>
      <c r="X136">
        <f>IF(Source!BI37&lt;=1,I131+I132+I133+I134-0, 0)</f>
        <v>0</v>
      </c>
      <c r="Y136">
        <f>IF(Source!BI37=2,I131+I132+I133+I134-0, 0)</f>
        <v>79.39</v>
      </c>
      <c r="Z136">
        <f>IF(Source!BI37=3,I131+I132+I133+I134-0, 0)</f>
        <v>0</v>
      </c>
      <c r="AA136">
        <f>IF(Source!BI37=4,I131+I132+I133+I134,0)</f>
        <v>0</v>
      </c>
    </row>
    <row r="137" spans="1:27" ht="99.75" x14ac:dyDescent="0.2">
      <c r="A137" s="22" t="str">
        <f>Source!E38</f>
        <v>11</v>
      </c>
      <c r="B137" s="23" t="str">
        <f>Source!F38</f>
        <v>4.8-316-1</v>
      </c>
      <c r="C137" s="23" t="s">
        <v>77</v>
      </c>
      <c r="D137" s="24" t="str">
        <f>Source!H38</f>
        <v>шт.</v>
      </c>
      <c r="E137" s="10">
        <f>Source!I38</f>
        <v>17</v>
      </c>
      <c r="F137" s="26"/>
      <c r="G137" s="25"/>
      <c r="H137" s="10"/>
      <c r="I137" s="27"/>
      <c r="J137" s="10"/>
      <c r="K137" s="27"/>
      <c r="Q137">
        <f>ROUND((Source!DN38/100)*ROUND((ROUND((Source!AF38*Source!AV38*Source!I38),2)),2), 2)</f>
        <v>904.48</v>
      </c>
      <c r="R137">
        <f>Source!X38</f>
        <v>15162.99</v>
      </c>
      <c r="S137">
        <f>ROUND((Source!DO38/100)*ROUND((ROUND((Source!AF38*Source!AV38*Source!I38),2)),2), 2)</f>
        <v>531.58000000000004</v>
      </c>
      <c r="T137">
        <f>Source!Y38</f>
        <v>8073.8</v>
      </c>
      <c r="U137">
        <f>ROUND((175/100)*ROUND((ROUND((Source!AE38*Source!AV38*Source!I38),2)),2), 2)</f>
        <v>6.48</v>
      </c>
      <c r="V137">
        <f>ROUND((157/100)*ROUND(ROUND((ROUND((Source!AE38*Source!AV38*Source!I38),2)*Source!BS38),2), 2), 2)</f>
        <v>144.16999999999999</v>
      </c>
    </row>
    <row r="138" spans="1:27" ht="14.25" x14ac:dyDescent="0.2">
      <c r="A138" s="22"/>
      <c r="B138" s="23"/>
      <c r="C138" s="23" t="s">
        <v>270</v>
      </c>
      <c r="D138" s="24"/>
      <c r="E138" s="10"/>
      <c r="F138" s="26">
        <f>Source!AO38</f>
        <v>36.450000000000003</v>
      </c>
      <c r="G138" s="25" t="str">
        <f>Source!DG38</f>
        <v>)*1,2</v>
      </c>
      <c r="H138" s="10">
        <f>Source!AV38</f>
        <v>1.0669999999999999</v>
      </c>
      <c r="I138" s="27">
        <f>ROUND((ROUND((Source!AF38*Source!AV38*Source!I38),2)),2)</f>
        <v>793.4</v>
      </c>
      <c r="J138" s="10">
        <f>IF(Source!BA38&lt;&gt; 0, Source!BA38, 1)</f>
        <v>24.82</v>
      </c>
      <c r="K138" s="27">
        <f>Source!S38</f>
        <v>19692.189999999999</v>
      </c>
      <c r="W138">
        <f>I138</f>
        <v>793.4</v>
      </c>
    </row>
    <row r="139" spans="1:27" ht="14.25" x14ac:dyDescent="0.2">
      <c r="A139" s="22"/>
      <c r="B139" s="23"/>
      <c r="C139" s="23" t="s">
        <v>271</v>
      </c>
      <c r="D139" s="24"/>
      <c r="E139" s="10"/>
      <c r="F139" s="26">
        <f>Source!AM38</f>
        <v>1.18</v>
      </c>
      <c r="G139" s="25" t="str">
        <f>Source!DE38</f>
        <v>)*1,2</v>
      </c>
      <c r="H139" s="10">
        <f>Source!AV38</f>
        <v>1.0669999999999999</v>
      </c>
      <c r="I139" s="27">
        <f>(ROUND((ROUND((((Source!ET38*1.2))*Source!AV38*Source!I38),2)),2)+ROUND((ROUND(((Source!AE38-((Source!EU38*1.2)))*Source!AV38*Source!I38),2)),2))</f>
        <v>25.68</v>
      </c>
      <c r="J139" s="10">
        <f>IF(Source!BB38&lt;&gt; 0, Source!BB38, 1)</f>
        <v>7.86</v>
      </c>
      <c r="K139" s="27">
        <f>Source!Q38</f>
        <v>201.84</v>
      </c>
    </row>
    <row r="140" spans="1:27" ht="14.25" x14ac:dyDescent="0.2">
      <c r="A140" s="22"/>
      <c r="B140" s="23"/>
      <c r="C140" s="23" t="s">
        <v>272</v>
      </c>
      <c r="D140" s="24"/>
      <c r="E140" s="10"/>
      <c r="F140" s="26">
        <f>Source!AN38</f>
        <v>0.17</v>
      </c>
      <c r="G140" s="25" t="str">
        <f>Source!DF38</f>
        <v>)*1,2</v>
      </c>
      <c r="H140" s="10">
        <f>Source!AV38</f>
        <v>1.0669999999999999</v>
      </c>
      <c r="I140" s="28">
        <f>ROUND((ROUND((Source!AE38*Source!AV38*Source!I38),2)),2)</f>
        <v>3.7</v>
      </c>
      <c r="J140" s="10">
        <f>IF(Source!BS38&lt;&gt; 0, Source!BS38, 1)</f>
        <v>24.82</v>
      </c>
      <c r="K140" s="28">
        <f>Source!R38</f>
        <v>91.83</v>
      </c>
      <c r="W140">
        <f>I140</f>
        <v>3.7</v>
      </c>
    </row>
    <row r="141" spans="1:27" ht="14.25" x14ac:dyDescent="0.2">
      <c r="A141" s="22"/>
      <c r="B141" s="23"/>
      <c r="C141" s="23" t="s">
        <v>273</v>
      </c>
      <c r="D141" s="24"/>
      <c r="E141" s="10"/>
      <c r="F141" s="26">
        <f>Source!AL38</f>
        <v>7.53</v>
      </c>
      <c r="G141" s="25" t="str">
        <f>Source!DD38</f>
        <v/>
      </c>
      <c r="H141" s="10">
        <f>Source!AW38</f>
        <v>1.028</v>
      </c>
      <c r="I141" s="27">
        <f>ROUND((ROUND((Source!AC38*Source!AW38*Source!I38),2)),2)</f>
        <v>131.59</v>
      </c>
      <c r="J141" s="10">
        <f>IF(Source!BC38&lt;&gt; 0, Source!BC38, 1)</f>
        <v>7.77</v>
      </c>
      <c r="K141" s="27">
        <f>Source!P38</f>
        <v>1022.45</v>
      </c>
    </row>
    <row r="142" spans="1:27" ht="14.25" x14ac:dyDescent="0.2">
      <c r="A142" s="22"/>
      <c r="B142" s="23"/>
      <c r="C142" s="23" t="s">
        <v>274</v>
      </c>
      <c r="D142" s="24" t="s">
        <v>275</v>
      </c>
      <c r="E142" s="10">
        <f>Source!DN38</f>
        <v>114</v>
      </c>
      <c r="F142" s="26"/>
      <c r="G142" s="25"/>
      <c r="H142" s="10"/>
      <c r="I142" s="27">
        <f>SUM(Q137:Q141)</f>
        <v>904.48</v>
      </c>
      <c r="J142" s="10">
        <f>Source!BZ38</f>
        <v>77</v>
      </c>
      <c r="K142" s="27">
        <f>SUM(R137:R141)</f>
        <v>15162.99</v>
      </c>
    </row>
    <row r="143" spans="1:27" ht="14.25" x14ac:dyDescent="0.2">
      <c r="A143" s="22"/>
      <c r="B143" s="23"/>
      <c r="C143" s="23" t="s">
        <v>276</v>
      </c>
      <c r="D143" s="24" t="s">
        <v>275</v>
      </c>
      <c r="E143" s="10">
        <f>Source!DO38</f>
        <v>67</v>
      </c>
      <c r="F143" s="26"/>
      <c r="G143" s="25"/>
      <c r="H143" s="10"/>
      <c r="I143" s="27">
        <f>SUM(S137:S142)</f>
        <v>531.58000000000004</v>
      </c>
      <c r="J143" s="10">
        <f>Source!CA38</f>
        <v>41</v>
      </c>
      <c r="K143" s="27">
        <f>SUM(T137:T142)</f>
        <v>8073.8</v>
      </c>
    </row>
    <row r="144" spans="1:27" ht="14.25" x14ac:dyDescent="0.2">
      <c r="A144" s="22"/>
      <c r="B144" s="23"/>
      <c r="C144" s="23" t="s">
        <v>277</v>
      </c>
      <c r="D144" s="24" t="s">
        <v>275</v>
      </c>
      <c r="E144" s="10">
        <f>175</f>
        <v>175</v>
      </c>
      <c r="F144" s="26"/>
      <c r="G144" s="25"/>
      <c r="H144" s="10"/>
      <c r="I144" s="27">
        <f>SUM(U137:U143)</f>
        <v>6.48</v>
      </c>
      <c r="J144" s="10">
        <f>157</f>
        <v>157</v>
      </c>
      <c r="K144" s="27">
        <f>SUM(V137:V143)</f>
        <v>144.16999999999999</v>
      </c>
    </row>
    <row r="145" spans="1:27" ht="14.25" x14ac:dyDescent="0.2">
      <c r="A145" s="22"/>
      <c r="B145" s="23"/>
      <c r="C145" s="23" t="s">
        <v>278</v>
      </c>
      <c r="D145" s="24" t="s">
        <v>279</v>
      </c>
      <c r="E145" s="10">
        <f>Source!AQ38</f>
        <v>2.5099999999999998</v>
      </c>
      <c r="F145" s="26"/>
      <c r="G145" s="25" t="str">
        <f>Source!DI38</f>
        <v>)*1,2</v>
      </c>
      <c r="H145" s="10">
        <f>Source!AV38</f>
        <v>1.0669999999999999</v>
      </c>
      <c r="I145" s="27">
        <f>Source!U38</f>
        <v>54.634667999999984</v>
      </c>
      <c r="J145" s="10"/>
      <c r="K145" s="27"/>
    </row>
    <row r="146" spans="1:27" ht="15" x14ac:dyDescent="0.25">
      <c r="A146" s="30"/>
      <c r="B146" s="30"/>
      <c r="C146" s="30"/>
      <c r="D146" s="30"/>
      <c r="E146" s="30"/>
      <c r="F146" s="30"/>
      <c r="G146" s="30"/>
      <c r="H146" s="54">
        <f>I138+I139+I141+I142+I143+I144</f>
        <v>2393.21</v>
      </c>
      <c r="I146" s="54"/>
      <c r="J146" s="54">
        <f>K138+K139+K141+K142+K143+K144</f>
        <v>44297.440000000002</v>
      </c>
      <c r="K146" s="54"/>
      <c r="O146" s="29">
        <f>I138+I139+I141+I142+I143+I144</f>
        <v>2393.21</v>
      </c>
      <c r="P146" s="29">
        <f>K138+K139+K141+K142+K143+K144</f>
        <v>44297.440000000002</v>
      </c>
      <c r="X146">
        <f>IF(Source!BI38&lt;=1,I138+I139+I141+I142+I143+I144-0, 0)</f>
        <v>0</v>
      </c>
      <c r="Y146">
        <f>IF(Source!BI38=2,I138+I139+I141+I142+I143+I144-0, 0)</f>
        <v>2393.21</v>
      </c>
      <c r="Z146">
        <f>IF(Source!BI38=3,I138+I139+I141+I142+I143+I144-0, 0)</f>
        <v>0</v>
      </c>
      <c r="AA146">
        <f>IF(Source!BI38=4,I138+I139+I141+I142+I143+I144,0)</f>
        <v>0</v>
      </c>
    </row>
    <row r="147" spans="1:27" ht="57" x14ac:dyDescent="0.2">
      <c r="A147" s="22" t="str">
        <f>Source!E39</f>
        <v>12</v>
      </c>
      <c r="B147" s="23" t="str">
        <f>Source!F39</f>
        <v>4.8-98-4</v>
      </c>
      <c r="C147" s="23" t="s">
        <v>83</v>
      </c>
      <c r="D147" s="24" t="str">
        <f>Source!H39</f>
        <v>шт.</v>
      </c>
      <c r="E147" s="10">
        <f>Source!I39</f>
        <v>3</v>
      </c>
      <c r="F147" s="26"/>
      <c r="G147" s="25"/>
      <c r="H147" s="10"/>
      <c r="I147" s="27"/>
      <c r="J147" s="10"/>
      <c r="K147" s="27"/>
      <c r="Q147">
        <f>ROUND((Source!DN39/100)*ROUND((ROUND((Source!AF39*Source!AV39*Source!I39),2)),2), 2)</f>
        <v>561.52</v>
      </c>
      <c r="R147">
        <f>Source!X39</f>
        <v>9413.51</v>
      </c>
      <c r="S147">
        <f>ROUND((Source!DO39/100)*ROUND((ROUND((Source!AF39*Source!AV39*Source!I39),2)),2), 2)</f>
        <v>330.02</v>
      </c>
      <c r="T147">
        <f>Source!Y39</f>
        <v>5012.3900000000003</v>
      </c>
      <c r="U147">
        <f>ROUND((175/100)*ROUND((ROUND((Source!AE39*Source!AV39*Source!I39),2)),2), 2)</f>
        <v>1.35</v>
      </c>
      <c r="V147">
        <f>ROUND((157/100)*ROUND(ROUND((ROUND((Source!AE39*Source!AV39*Source!I39),2)*Source!BS39),2), 2), 2)</f>
        <v>30</v>
      </c>
    </row>
    <row r="148" spans="1:27" ht="14.25" x14ac:dyDescent="0.2">
      <c r="A148" s="22"/>
      <c r="B148" s="23"/>
      <c r="C148" s="23" t="s">
        <v>270</v>
      </c>
      <c r="D148" s="24"/>
      <c r="E148" s="10"/>
      <c r="F148" s="26">
        <f>Source!AO39</f>
        <v>128.22999999999999</v>
      </c>
      <c r="G148" s="25" t="str">
        <f>Source!DG39</f>
        <v>)*1,2</v>
      </c>
      <c r="H148" s="10">
        <f>Source!AV39</f>
        <v>1.0669999999999999</v>
      </c>
      <c r="I148" s="27">
        <f>ROUND((ROUND((Source!AF39*Source!AV39*Source!I39),2)),2)</f>
        <v>492.56</v>
      </c>
      <c r="J148" s="10">
        <f>IF(Source!BA39&lt;&gt; 0, Source!BA39, 1)</f>
        <v>24.82</v>
      </c>
      <c r="K148" s="27">
        <f>Source!S39</f>
        <v>12225.34</v>
      </c>
      <c r="W148">
        <f>I148</f>
        <v>492.56</v>
      </c>
    </row>
    <row r="149" spans="1:27" ht="14.25" x14ac:dyDescent="0.2">
      <c r="A149" s="22"/>
      <c r="B149" s="23"/>
      <c r="C149" s="23" t="s">
        <v>271</v>
      </c>
      <c r="D149" s="24"/>
      <c r="E149" s="10"/>
      <c r="F149" s="26">
        <f>Source!AM39</f>
        <v>0.85</v>
      </c>
      <c r="G149" s="25" t="str">
        <f>Source!DE39</f>
        <v>)*1,2</v>
      </c>
      <c r="H149" s="10">
        <f>Source!AV39</f>
        <v>1.0669999999999999</v>
      </c>
      <c r="I149" s="27">
        <f>(ROUND((ROUND((((Source!ET39*1.2))*Source!AV39*Source!I39),2)),2)+ROUND((ROUND(((Source!AE39-((Source!EU39*1.2)))*Source!AV39*Source!I39),2)),2))</f>
        <v>3.27</v>
      </c>
      <c r="J149" s="10">
        <f>IF(Source!BB39&lt;&gt; 0, Source!BB39, 1)</f>
        <v>8.89</v>
      </c>
      <c r="K149" s="27">
        <f>Source!Q39</f>
        <v>29.07</v>
      </c>
    </row>
    <row r="150" spans="1:27" ht="14.25" x14ac:dyDescent="0.2">
      <c r="A150" s="22"/>
      <c r="B150" s="23"/>
      <c r="C150" s="23" t="s">
        <v>272</v>
      </c>
      <c r="D150" s="24"/>
      <c r="E150" s="10"/>
      <c r="F150" s="26">
        <f>Source!AN39</f>
        <v>0.2</v>
      </c>
      <c r="G150" s="25" t="str">
        <f>Source!DF39</f>
        <v>)*1,2</v>
      </c>
      <c r="H150" s="10">
        <f>Source!AV39</f>
        <v>1.0669999999999999</v>
      </c>
      <c r="I150" s="28">
        <f>ROUND((ROUND((Source!AE39*Source!AV39*Source!I39),2)),2)</f>
        <v>0.77</v>
      </c>
      <c r="J150" s="10">
        <f>IF(Source!BS39&lt;&gt; 0, Source!BS39, 1)</f>
        <v>24.82</v>
      </c>
      <c r="K150" s="28">
        <f>Source!R39</f>
        <v>19.11</v>
      </c>
      <c r="W150">
        <f>I150</f>
        <v>0.77</v>
      </c>
    </row>
    <row r="151" spans="1:27" ht="14.25" x14ac:dyDescent="0.2">
      <c r="A151" s="22"/>
      <c r="B151" s="23"/>
      <c r="C151" s="23" t="s">
        <v>273</v>
      </c>
      <c r="D151" s="24"/>
      <c r="E151" s="10"/>
      <c r="F151" s="26">
        <f>Source!AL39</f>
        <v>30.17</v>
      </c>
      <c r="G151" s="25" t="str">
        <f>Source!DD39</f>
        <v/>
      </c>
      <c r="H151" s="10">
        <f>Source!AW39</f>
        <v>1.081</v>
      </c>
      <c r="I151" s="27">
        <f>ROUND((ROUND((Source!AC39*Source!AW39*Source!I39),2)),2)</f>
        <v>97.84</v>
      </c>
      <c r="J151" s="10">
        <f>IF(Source!BC39&lt;&gt; 0, Source!BC39, 1)</f>
        <v>5.29</v>
      </c>
      <c r="K151" s="27">
        <f>Source!P39</f>
        <v>517.57000000000005</v>
      </c>
    </row>
    <row r="152" spans="1:27" ht="14.25" x14ac:dyDescent="0.2">
      <c r="A152" s="22"/>
      <c r="B152" s="23"/>
      <c r="C152" s="23" t="s">
        <v>274</v>
      </c>
      <c r="D152" s="24" t="s">
        <v>275</v>
      </c>
      <c r="E152" s="10">
        <f>Source!DN39</f>
        <v>114</v>
      </c>
      <c r="F152" s="26"/>
      <c r="G152" s="25"/>
      <c r="H152" s="10"/>
      <c r="I152" s="27">
        <f>SUM(Q147:Q151)</f>
        <v>561.52</v>
      </c>
      <c r="J152" s="10">
        <f>Source!BZ39</f>
        <v>77</v>
      </c>
      <c r="K152" s="27">
        <f>SUM(R147:R151)</f>
        <v>9413.51</v>
      </c>
    </row>
    <row r="153" spans="1:27" ht="14.25" x14ac:dyDescent="0.2">
      <c r="A153" s="22"/>
      <c r="B153" s="23"/>
      <c r="C153" s="23" t="s">
        <v>276</v>
      </c>
      <c r="D153" s="24" t="s">
        <v>275</v>
      </c>
      <c r="E153" s="10">
        <f>Source!DO39</f>
        <v>67</v>
      </c>
      <c r="F153" s="26"/>
      <c r="G153" s="25"/>
      <c r="H153" s="10"/>
      <c r="I153" s="27">
        <f>SUM(S147:S152)</f>
        <v>330.02</v>
      </c>
      <c r="J153" s="10">
        <f>Source!CA39</f>
        <v>41</v>
      </c>
      <c r="K153" s="27">
        <f>SUM(T147:T152)</f>
        <v>5012.3900000000003</v>
      </c>
    </row>
    <row r="154" spans="1:27" ht="14.25" x14ac:dyDescent="0.2">
      <c r="A154" s="22"/>
      <c r="B154" s="23"/>
      <c r="C154" s="23" t="s">
        <v>277</v>
      </c>
      <c r="D154" s="24" t="s">
        <v>275</v>
      </c>
      <c r="E154" s="10">
        <f>175</f>
        <v>175</v>
      </c>
      <c r="F154" s="26"/>
      <c r="G154" s="25"/>
      <c r="H154" s="10"/>
      <c r="I154" s="27">
        <f>SUM(U147:U153)</f>
        <v>1.35</v>
      </c>
      <c r="J154" s="10">
        <f>157</f>
        <v>157</v>
      </c>
      <c r="K154" s="27">
        <f>SUM(V147:V153)</f>
        <v>30</v>
      </c>
    </row>
    <row r="155" spans="1:27" ht="14.25" x14ac:dyDescent="0.2">
      <c r="A155" s="22"/>
      <c r="B155" s="23"/>
      <c r="C155" s="23" t="s">
        <v>278</v>
      </c>
      <c r="D155" s="24" t="s">
        <v>279</v>
      </c>
      <c r="E155" s="10">
        <f>Source!AQ39</f>
        <v>10.4</v>
      </c>
      <c r="F155" s="26"/>
      <c r="G155" s="25" t="str">
        <f>Source!DI39</f>
        <v>)*1,2</v>
      </c>
      <c r="H155" s="10">
        <f>Source!AV39</f>
        <v>1.0669999999999999</v>
      </c>
      <c r="I155" s="27">
        <f>Source!U39</f>
        <v>39.948480000000004</v>
      </c>
      <c r="J155" s="10"/>
      <c r="K155" s="27"/>
    </row>
    <row r="156" spans="1:27" ht="15" x14ac:dyDescent="0.25">
      <c r="A156" s="30"/>
      <c r="B156" s="30"/>
      <c r="C156" s="30"/>
      <c r="D156" s="30"/>
      <c r="E156" s="30"/>
      <c r="F156" s="30"/>
      <c r="G156" s="30"/>
      <c r="H156" s="54">
        <f>I148+I149+I151+I152+I153+I154</f>
        <v>1486.56</v>
      </c>
      <c r="I156" s="54"/>
      <c r="J156" s="54">
        <f>K148+K149+K151+K152+K153+K154</f>
        <v>27227.879999999997</v>
      </c>
      <c r="K156" s="54"/>
      <c r="O156" s="29">
        <f>I148+I149+I151+I152+I153+I154</f>
        <v>1486.56</v>
      </c>
      <c r="P156" s="29">
        <f>K148+K149+K151+K152+K153+K154</f>
        <v>27227.879999999997</v>
      </c>
      <c r="X156">
        <f>IF(Source!BI39&lt;=1,I148+I149+I151+I152+I153+I154-0, 0)</f>
        <v>0</v>
      </c>
      <c r="Y156">
        <f>IF(Source!BI39=2,I148+I149+I151+I152+I153+I154-0, 0)</f>
        <v>1486.56</v>
      </c>
      <c r="Z156">
        <f>IF(Source!BI39=3,I148+I149+I151+I152+I153+I154-0, 0)</f>
        <v>0</v>
      </c>
      <c r="AA156">
        <f>IF(Source!BI39=4,I148+I149+I151+I152+I153+I154,0)</f>
        <v>0</v>
      </c>
    </row>
    <row r="158" spans="1:27" ht="15" x14ac:dyDescent="0.25">
      <c r="A158" s="53" t="str">
        <f>CONCATENATE("Итого по разделу: ",IF(Source!G41&lt;&gt;"Новый раздел", Source!G41, ""))</f>
        <v>Итого по разделу: Электромонтажные работы.</v>
      </c>
      <c r="B158" s="53"/>
      <c r="C158" s="53"/>
      <c r="D158" s="53"/>
      <c r="E158" s="53"/>
      <c r="F158" s="53"/>
      <c r="G158" s="53"/>
      <c r="H158" s="51">
        <f>SUM(O35:O157)</f>
        <v>15883.079999999996</v>
      </c>
      <c r="I158" s="52"/>
      <c r="J158" s="51">
        <f>SUM(P35:P157)</f>
        <v>223664.04</v>
      </c>
      <c r="K158" s="52"/>
    </row>
    <row r="159" spans="1:27" hidden="1" x14ac:dyDescent="0.2">
      <c r="A159" t="s">
        <v>280</v>
      </c>
      <c r="H159">
        <f>SUM(AC35:AC158)</f>
        <v>0</v>
      </c>
      <c r="J159">
        <f>SUM(AD35:AD158)</f>
        <v>0</v>
      </c>
    </row>
    <row r="160" spans="1:27" hidden="1" x14ac:dyDescent="0.2">
      <c r="A160" t="s">
        <v>281</v>
      </c>
      <c r="H160">
        <f>SUM(AE35:AE159)</f>
        <v>0</v>
      </c>
      <c r="J160">
        <f>SUM(AF35:AF159)</f>
        <v>0</v>
      </c>
    </row>
    <row r="162" spans="1:27" ht="16.5" x14ac:dyDescent="0.25">
      <c r="A162" s="55" t="str">
        <f>CONCATENATE("Раздел: ",IF(Source!G71&lt;&gt;"Новый раздел", Source!G71, ""))</f>
        <v>Раздел: Пусконаладочные работы.</v>
      </c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27" ht="28.5" x14ac:dyDescent="0.2">
      <c r="A163" s="22" t="str">
        <f>Source!E75</f>
        <v>13</v>
      </c>
      <c r="B163" s="23" t="str">
        <f>Source!F75</f>
        <v>5.1-23-1</v>
      </c>
      <c r="C163" s="23" t="s">
        <v>144</v>
      </c>
      <c r="D163" s="24" t="str">
        <f>Source!H75</f>
        <v>шт.</v>
      </c>
      <c r="E163" s="10">
        <f>Source!I75</f>
        <v>19</v>
      </c>
      <c r="F163" s="26"/>
      <c r="G163" s="25"/>
      <c r="H163" s="10"/>
      <c r="I163" s="27"/>
      <c r="J163" s="10"/>
      <c r="K163" s="27"/>
      <c r="Q163">
        <f>ROUND((Source!DN75/100)*ROUND((ROUND((Source!AF75*Source!AV75*Source!I75),2)),2), 2)</f>
        <v>1604.45</v>
      </c>
      <c r="R163">
        <f>Source!X75</f>
        <v>36105.74</v>
      </c>
      <c r="S163">
        <f>ROUND((Source!DO75/100)*ROUND((ROUND((Source!AF75*Source!AV75*Source!I75),2)),2), 2)</f>
        <v>1497.49</v>
      </c>
      <c r="T163">
        <f>Source!Y75</f>
        <v>21769.64</v>
      </c>
      <c r="U163">
        <f>ROUND((175/100)*ROUND((ROUND((Source!AE75*Source!AV75*Source!I75),2)),2), 2)</f>
        <v>0</v>
      </c>
      <c r="V163">
        <f>ROUND((157/100)*ROUND(ROUND((ROUND((Source!AE75*Source!AV75*Source!I75),2)*Source!BS75),2), 2), 2)</f>
        <v>0</v>
      </c>
    </row>
    <row r="164" spans="1:27" ht="14.25" x14ac:dyDescent="0.2">
      <c r="A164" s="22"/>
      <c r="B164" s="23"/>
      <c r="C164" s="23" t="s">
        <v>270</v>
      </c>
      <c r="D164" s="24"/>
      <c r="E164" s="10"/>
      <c r="F164" s="26">
        <f>Source!AO75</f>
        <v>86.61</v>
      </c>
      <c r="G164" s="25" t="str">
        <f>Source!DG75</f>
        <v>)*1,3</v>
      </c>
      <c r="H164" s="10">
        <f>Source!AV75</f>
        <v>1</v>
      </c>
      <c r="I164" s="27">
        <f>ROUND((ROUND((Source!AF75*Source!AV75*Source!I75),2)),2)</f>
        <v>2139.27</v>
      </c>
      <c r="J164" s="10">
        <f>IF(Source!BA75&lt;&gt; 0, Source!BA75, 1)</f>
        <v>24.82</v>
      </c>
      <c r="K164" s="27">
        <f>Source!S75</f>
        <v>53096.68</v>
      </c>
      <c r="W164">
        <f>I164</f>
        <v>2139.27</v>
      </c>
    </row>
    <row r="165" spans="1:27" ht="14.25" x14ac:dyDescent="0.2">
      <c r="A165" s="22"/>
      <c r="B165" s="23"/>
      <c r="C165" s="23" t="s">
        <v>274</v>
      </c>
      <c r="D165" s="24" t="s">
        <v>275</v>
      </c>
      <c r="E165" s="10">
        <f>Source!DN75</f>
        <v>75</v>
      </c>
      <c r="F165" s="26"/>
      <c r="G165" s="25"/>
      <c r="H165" s="10"/>
      <c r="I165" s="27">
        <f>SUM(Q163:Q164)</f>
        <v>1604.45</v>
      </c>
      <c r="J165" s="10">
        <f>Source!BZ75</f>
        <v>68</v>
      </c>
      <c r="K165" s="27">
        <f>SUM(R163:R164)</f>
        <v>36105.74</v>
      </c>
    </row>
    <row r="166" spans="1:27" ht="14.25" x14ac:dyDescent="0.2">
      <c r="A166" s="22"/>
      <c r="B166" s="23"/>
      <c r="C166" s="23" t="s">
        <v>276</v>
      </c>
      <c r="D166" s="24" t="s">
        <v>275</v>
      </c>
      <c r="E166" s="10">
        <f>Source!DO75</f>
        <v>70</v>
      </c>
      <c r="F166" s="26"/>
      <c r="G166" s="25"/>
      <c r="H166" s="10"/>
      <c r="I166" s="27">
        <f>SUM(S163:S165)</f>
        <v>1497.49</v>
      </c>
      <c r="J166" s="10">
        <f>Source!CA75</f>
        <v>41</v>
      </c>
      <c r="K166" s="27">
        <f>SUM(T163:T165)</f>
        <v>21769.64</v>
      </c>
    </row>
    <row r="167" spans="1:27" ht="14.25" x14ac:dyDescent="0.2">
      <c r="A167" s="22"/>
      <c r="B167" s="23"/>
      <c r="C167" s="23" t="s">
        <v>278</v>
      </c>
      <c r="D167" s="24" t="s">
        <v>279</v>
      </c>
      <c r="E167" s="10">
        <f>Source!AQ75</f>
        <v>5.4</v>
      </c>
      <c r="F167" s="26"/>
      <c r="G167" s="25" t="str">
        <f>Source!DI75</f>
        <v>)*1,3</v>
      </c>
      <c r="H167" s="10">
        <f>Source!AV75</f>
        <v>1</v>
      </c>
      <c r="I167" s="27">
        <f>Source!U75</f>
        <v>133.38</v>
      </c>
      <c r="J167" s="10"/>
      <c r="K167" s="27"/>
    </row>
    <row r="168" spans="1:27" ht="15" x14ac:dyDescent="0.25">
      <c r="A168" s="30"/>
      <c r="B168" s="30"/>
      <c r="C168" s="30"/>
      <c r="D168" s="30"/>
      <c r="E168" s="30"/>
      <c r="F168" s="30"/>
      <c r="G168" s="30"/>
      <c r="H168" s="54">
        <f>I164+I165+I166</f>
        <v>5241.21</v>
      </c>
      <c r="I168" s="54"/>
      <c r="J168" s="54">
        <f>K164+K165+K166</f>
        <v>110972.06</v>
      </c>
      <c r="K168" s="54"/>
      <c r="O168" s="29">
        <f>I164+I165+I166</f>
        <v>5241.21</v>
      </c>
      <c r="P168" s="29">
        <f>K164+K165+K166</f>
        <v>110972.06</v>
      </c>
      <c r="X168">
        <f>IF(Source!BI75&lt;=1,I164+I165+I166-0, 0)</f>
        <v>0</v>
      </c>
      <c r="Y168">
        <f>IF(Source!BI75=2,I164+I165+I166-0, 0)</f>
        <v>0</v>
      </c>
      <c r="Z168">
        <f>IF(Source!BI75=3,I164+I165+I166-0, 0)</f>
        <v>0</v>
      </c>
      <c r="AA168">
        <f>IF(Source!BI75=4,I164+I165+I166,0)</f>
        <v>5241.21</v>
      </c>
    </row>
    <row r="169" spans="1:27" ht="71.25" x14ac:dyDescent="0.2">
      <c r="A169" s="22" t="str">
        <f>Source!E76</f>
        <v>14</v>
      </c>
      <c r="B169" s="23" t="str">
        <f>Source!F76</f>
        <v>5.1-20-7</v>
      </c>
      <c r="C169" s="23" t="s">
        <v>154</v>
      </c>
      <c r="D169" s="24" t="str">
        <f>Source!H76</f>
        <v>шт.</v>
      </c>
      <c r="E169" s="10">
        <f>Source!I76</f>
        <v>2</v>
      </c>
      <c r="F169" s="26"/>
      <c r="G169" s="25"/>
      <c r="H169" s="10"/>
      <c r="I169" s="27"/>
      <c r="J169" s="10"/>
      <c r="K169" s="27"/>
      <c r="Q169">
        <f>ROUND((Source!DN76/100)*ROUND((ROUND((Source!AF76*Source!AV76*Source!I76),2)),2), 2)</f>
        <v>107.96</v>
      </c>
      <c r="R169">
        <f>Source!X76</f>
        <v>2429.36</v>
      </c>
      <c r="S169">
        <f>ROUND((Source!DO76/100)*ROUND((ROUND((Source!AF76*Source!AV76*Source!I76),2)),2), 2)</f>
        <v>100.76</v>
      </c>
      <c r="T169">
        <f>Source!Y76</f>
        <v>1464.76</v>
      </c>
      <c r="U169">
        <f>ROUND((175/100)*ROUND((ROUND((Source!AE76*Source!AV76*Source!I76),2)),2), 2)</f>
        <v>0</v>
      </c>
      <c r="V169">
        <f>ROUND((157/100)*ROUND(ROUND((ROUND((Source!AE76*Source!AV76*Source!I76),2)*Source!BS76),2), 2), 2)</f>
        <v>0</v>
      </c>
    </row>
    <row r="170" spans="1:27" ht="14.25" x14ac:dyDescent="0.2">
      <c r="A170" s="22"/>
      <c r="B170" s="23"/>
      <c r="C170" s="23" t="s">
        <v>270</v>
      </c>
      <c r="D170" s="24"/>
      <c r="E170" s="10"/>
      <c r="F170" s="26">
        <f>Source!AO76</f>
        <v>55.36</v>
      </c>
      <c r="G170" s="25" t="str">
        <f>Source!DG76</f>
        <v>)*1,3</v>
      </c>
      <c r="H170" s="10">
        <f>Source!AV76</f>
        <v>1</v>
      </c>
      <c r="I170" s="27">
        <f>ROUND((ROUND((Source!AF76*Source!AV76*Source!I76),2)),2)</f>
        <v>143.94</v>
      </c>
      <c r="J170" s="10">
        <f>IF(Source!BA76&lt;&gt; 0, Source!BA76, 1)</f>
        <v>24.82</v>
      </c>
      <c r="K170" s="27">
        <f>Source!S76</f>
        <v>3572.59</v>
      </c>
      <c r="W170">
        <f>I170</f>
        <v>143.94</v>
      </c>
    </row>
    <row r="171" spans="1:27" ht="14.25" x14ac:dyDescent="0.2">
      <c r="A171" s="22"/>
      <c r="B171" s="23"/>
      <c r="C171" s="23" t="s">
        <v>274</v>
      </c>
      <c r="D171" s="24" t="s">
        <v>275</v>
      </c>
      <c r="E171" s="10">
        <f>Source!DN76</f>
        <v>75</v>
      </c>
      <c r="F171" s="26"/>
      <c r="G171" s="25"/>
      <c r="H171" s="10"/>
      <c r="I171" s="27">
        <f>SUM(Q169:Q170)</f>
        <v>107.96</v>
      </c>
      <c r="J171" s="10">
        <f>Source!BZ76</f>
        <v>68</v>
      </c>
      <c r="K171" s="27">
        <f>SUM(R169:R170)</f>
        <v>2429.36</v>
      </c>
    </row>
    <row r="172" spans="1:27" ht="14.25" x14ac:dyDescent="0.2">
      <c r="A172" s="22"/>
      <c r="B172" s="23"/>
      <c r="C172" s="23" t="s">
        <v>276</v>
      </c>
      <c r="D172" s="24" t="s">
        <v>275</v>
      </c>
      <c r="E172" s="10">
        <f>Source!DO76</f>
        <v>70</v>
      </c>
      <c r="F172" s="26"/>
      <c r="G172" s="25"/>
      <c r="H172" s="10"/>
      <c r="I172" s="27">
        <f>SUM(S169:S171)</f>
        <v>100.76</v>
      </c>
      <c r="J172" s="10">
        <f>Source!CA76</f>
        <v>41</v>
      </c>
      <c r="K172" s="27">
        <f>SUM(T169:T171)</f>
        <v>1464.76</v>
      </c>
    </row>
    <row r="173" spans="1:27" ht="14.25" x14ac:dyDescent="0.2">
      <c r="A173" s="22"/>
      <c r="B173" s="23"/>
      <c r="C173" s="23" t="s">
        <v>278</v>
      </c>
      <c r="D173" s="24" t="s">
        <v>279</v>
      </c>
      <c r="E173" s="10">
        <f>Source!AQ76</f>
        <v>4.5</v>
      </c>
      <c r="F173" s="26"/>
      <c r="G173" s="25" t="str">
        <f>Source!DI76</f>
        <v>)*1,3</v>
      </c>
      <c r="H173" s="10">
        <f>Source!AV76</f>
        <v>1</v>
      </c>
      <c r="I173" s="27">
        <f>Source!U76</f>
        <v>11.700000000000001</v>
      </c>
      <c r="J173" s="10"/>
      <c r="K173" s="27"/>
    </row>
    <row r="174" spans="1:27" ht="15" x14ac:dyDescent="0.25">
      <c r="A174" s="30"/>
      <c r="B174" s="30"/>
      <c r="C174" s="30"/>
      <c r="D174" s="30"/>
      <c r="E174" s="30"/>
      <c r="F174" s="30"/>
      <c r="G174" s="30"/>
      <c r="H174" s="54">
        <f>I170+I171+I172</f>
        <v>352.65999999999997</v>
      </c>
      <c r="I174" s="54"/>
      <c r="J174" s="54">
        <f>K170+K171+K172</f>
        <v>7466.7100000000009</v>
      </c>
      <c r="K174" s="54"/>
      <c r="O174" s="29">
        <f>I170+I171+I172</f>
        <v>352.65999999999997</v>
      </c>
      <c r="P174" s="29">
        <f>K170+K171+K172</f>
        <v>7466.7100000000009</v>
      </c>
      <c r="X174">
        <f>IF(Source!BI76&lt;=1,I170+I171+I172-0, 0)</f>
        <v>0</v>
      </c>
      <c r="Y174">
        <f>IF(Source!BI76=2,I170+I171+I172-0, 0)</f>
        <v>0</v>
      </c>
      <c r="Z174">
        <f>IF(Source!BI76=3,I170+I171+I172-0, 0)</f>
        <v>0</v>
      </c>
      <c r="AA174">
        <f>IF(Source!BI76=4,I170+I171+I172,0)</f>
        <v>352.65999999999997</v>
      </c>
    </row>
    <row r="175" spans="1:27" ht="28.5" x14ac:dyDescent="0.2">
      <c r="A175" s="22" t="str">
        <f>Source!E77</f>
        <v>15</v>
      </c>
      <c r="B175" s="23" t="str">
        <f>Source!F77</f>
        <v>5.1-168-1</v>
      </c>
      <c r="C175" s="23" t="s">
        <v>158</v>
      </c>
      <c r="D175" s="24" t="str">
        <f>Source!H77</f>
        <v>испытание</v>
      </c>
      <c r="E175" s="10">
        <f>Source!I77</f>
        <v>4</v>
      </c>
      <c r="F175" s="26"/>
      <c r="G175" s="25"/>
      <c r="H175" s="10"/>
      <c r="I175" s="27"/>
      <c r="J175" s="10"/>
      <c r="K175" s="27"/>
      <c r="Q175">
        <f>ROUND((Source!DN77/100)*ROUND((ROUND((Source!AF77*Source!AV77*Source!I77),2)),2), 2)</f>
        <v>474.51</v>
      </c>
      <c r="R175">
        <f>Source!X77</f>
        <v>9219.66</v>
      </c>
      <c r="S175">
        <f>ROUND((Source!DO77/100)*ROUND((ROUND((Source!AF77*Source!AV77*Source!I77),2)),2), 2)</f>
        <v>442.88</v>
      </c>
      <c r="T175">
        <f>Source!Y77</f>
        <v>5558.92</v>
      </c>
      <c r="U175">
        <f>ROUND((175/100)*ROUND((ROUND((Source!AE77*Source!AV77*Source!I77),2)),2), 2)</f>
        <v>0</v>
      </c>
      <c r="V175">
        <f>ROUND((157/100)*ROUND(ROUND((ROUND((Source!AE77*Source!AV77*Source!I77),2)*Source!BS77),2), 2), 2)</f>
        <v>0</v>
      </c>
    </row>
    <row r="176" spans="1:27" ht="14.25" x14ac:dyDescent="0.2">
      <c r="A176" s="22"/>
      <c r="B176" s="23"/>
      <c r="C176" s="23" t="s">
        <v>270</v>
      </c>
      <c r="D176" s="24"/>
      <c r="E176" s="10"/>
      <c r="F176" s="26">
        <f>Source!AO77</f>
        <v>121.67</v>
      </c>
      <c r="G176" s="25" t="str">
        <f>Source!DG77</f>
        <v>)*1,3</v>
      </c>
      <c r="H176" s="10">
        <f>Source!AV77</f>
        <v>1</v>
      </c>
      <c r="I176" s="27">
        <f>ROUND((ROUND((Source!AF77*Source!AV77*Source!I77),2)),2)</f>
        <v>632.67999999999995</v>
      </c>
      <c r="J176" s="10">
        <f>IF(Source!BA77&lt;&gt; 0, Source!BA77, 1)</f>
        <v>21.43</v>
      </c>
      <c r="K176" s="27">
        <f>Source!S77</f>
        <v>13558.33</v>
      </c>
      <c r="W176">
        <f>I176</f>
        <v>632.67999999999995</v>
      </c>
    </row>
    <row r="177" spans="1:27" ht="14.25" x14ac:dyDescent="0.2">
      <c r="A177" s="22"/>
      <c r="B177" s="23"/>
      <c r="C177" s="23" t="s">
        <v>274</v>
      </c>
      <c r="D177" s="24" t="s">
        <v>275</v>
      </c>
      <c r="E177" s="10">
        <f>Source!DN77</f>
        <v>75</v>
      </c>
      <c r="F177" s="26"/>
      <c r="G177" s="25"/>
      <c r="H177" s="10"/>
      <c r="I177" s="27">
        <f>SUM(Q175:Q176)</f>
        <v>474.51</v>
      </c>
      <c r="J177" s="10">
        <f>Source!BZ77</f>
        <v>68</v>
      </c>
      <c r="K177" s="27">
        <f>SUM(R175:R176)</f>
        <v>9219.66</v>
      </c>
    </row>
    <row r="178" spans="1:27" ht="14.25" x14ac:dyDescent="0.2">
      <c r="A178" s="22"/>
      <c r="B178" s="23"/>
      <c r="C178" s="23" t="s">
        <v>276</v>
      </c>
      <c r="D178" s="24" t="s">
        <v>275</v>
      </c>
      <c r="E178" s="10">
        <f>Source!DO77</f>
        <v>70</v>
      </c>
      <c r="F178" s="26"/>
      <c r="G178" s="25"/>
      <c r="H178" s="10"/>
      <c r="I178" s="27">
        <f>SUM(S175:S177)</f>
        <v>442.88</v>
      </c>
      <c r="J178" s="10">
        <f>Source!CA77</f>
        <v>41</v>
      </c>
      <c r="K178" s="27">
        <f>SUM(T175:T177)</f>
        <v>5558.92</v>
      </c>
    </row>
    <row r="179" spans="1:27" ht="14.25" x14ac:dyDescent="0.2">
      <c r="A179" s="22"/>
      <c r="B179" s="23"/>
      <c r="C179" s="23" t="s">
        <v>278</v>
      </c>
      <c r="D179" s="24" t="s">
        <v>279</v>
      </c>
      <c r="E179" s="10">
        <f>Source!AQ77</f>
        <v>8.1</v>
      </c>
      <c r="F179" s="26"/>
      <c r="G179" s="25" t="str">
        <f>Source!DI77</f>
        <v>)*1,3</v>
      </c>
      <c r="H179" s="10">
        <f>Source!AV77</f>
        <v>1</v>
      </c>
      <c r="I179" s="27">
        <f>Source!U77</f>
        <v>42.12</v>
      </c>
      <c r="J179" s="10"/>
      <c r="K179" s="27"/>
    </row>
    <row r="180" spans="1:27" ht="15" x14ac:dyDescent="0.25">
      <c r="A180" s="30"/>
      <c r="B180" s="30"/>
      <c r="C180" s="30"/>
      <c r="D180" s="30"/>
      <c r="E180" s="30"/>
      <c r="F180" s="30"/>
      <c r="G180" s="30"/>
      <c r="H180" s="54">
        <f>I176+I177+I178</f>
        <v>1550.0700000000002</v>
      </c>
      <c r="I180" s="54"/>
      <c r="J180" s="54">
        <f>K176+K177+K178</f>
        <v>28336.909999999996</v>
      </c>
      <c r="K180" s="54"/>
      <c r="O180" s="29">
        <f>I176+I177+I178</f>
        <v>1550.0700000000002</v>
      </c>
      <c r="P180" s="29">
        <f>K176+K177+K178</f>
        <v>28336.909999999996</v>
      </c>
      <c r="X180">
        <f>IF(Source!BI77&lt;=1,I176+I177+I178-0, 0)</f>
        <v>0</v>
      </c>
      <c r="Y180">
        <f>IF(Source!BI77=2,I176+I177+I178-0, 0)</f>
        <v>0</v>
      </c>
      <c r="Z180">
        <f>IF(Source!BI77=3,I176+I177+I178-0, 0)</f>
        <v>0</v>
      </c>
      <c r="AA180">
        <f>IF(Source!BI77=4,I176+I177+I178,0)</f>
        <v>1550.0700000000002</v>
      </c>
    </row>
    <row r="181" spans="1:27" ht="71.25" x14ac:dyDescent="0.2">
      <c r="A181" s="22" t="str">
        <f>Source!E78</f>
        <v>16</v>
      </c>
      <c r="B181" s="23" t="str">
        <f>Source!F78</f>
        <v>5.1-141-2</v>
      </c>
      <c r="C181" s="23" t="s">
        <v>163</v>
      </c>
      <c r="D181" s="24" t="str">
        <f>Source!H78</f>
        <v>шт.</v>
      </c>
      <c r="E181" s="10">
        <f>Source!I78</f>
        <v>4</v>
      </c>
      <c r="F181" s="26"/>
      <c r="G181" s="25"/>
      <c r="H181" s="10"/>
      <c r="I181" s="27"/>
      <c r="J181" s="10"/>
      <c r="K181" s="27"/>
      <c r="Q181">
        <f>ROUND((Source!DN78/100)*ROUND((ROUND((Source!AF78*Source!AV78*Source!I78),2)),2), 2)</f>
        <v>466.28</v>
      </c>
      <c r="R181">
        <f>Source!X78</f>
        <v>10492.97</v>
      </c>
      <c r="S181">
        <f>ROUND((Source!DO78/100)*ROUND((ROUND((Source!AF78*Source!AV78*Source!I78),2)),2), 2)</f>
        <v>435.2</v>
      </c>
      <c r="T181">
        <f>Source!Y78</f>
        <v>6326.64</v>
      </c>
      <c r="U181">
        <f>ROUND((175/100)*ROUND((ROUND((Source!AE78*Source!AV78*Source!I78),2)),2), 2)</f>
        <v>0</v>
      </c>
      <c r="V181">
        <f>ROUND((157/100)*ROUND(ROUND((ROUND((Source!AE78*Source!AV78*Source!I78),2)*Source!BS78),2), 2), 2)</f>
        <v>0</v>
      </c>
    </row>
    <row r="182" spans="1:27" ht="14.25" x14ac:dyDescent="0.2">
      <c r="A182" s="22"/>
      <c r="B182" s="23"/>
      <c r="C182" s="23" t="s">
        <v>270</v>
      </c>
      <c r="D182" s="24"/>
      <c r="E182" s="10"/>
      <c r="F182" s="26">
        <f>Source!AO78</f>
        <v>119.56</v>
      </c>
      <c r="G182" s="25" t="str">
        <f>Source!DG78</f>
        <v>)*1,3</v>
      </c>
      <c r="H182" s="10">
        <f>Source!AV78</f>
        <v>1</v>
      </c>
      <c r="I182" s="27">
        <f>ROUND((ROUND((Source!AF78*Source!AV78*Source!I78),2)),2)</f>
        <v>621.71</v>
      </c>
      <c r="J182" s="10">
        <f>IF(Source!BA78&lt;&gt; 0, Source!BA78, 1)</f>
        <v>24.82</v>
      </c>
      <c r="K182" s="27">
        <f>Source!S78</f>
        <v>15430.84</v>
      </c>
      <c r="W182">
        <f>I182</f>
        <v>621.71</v>
      </c>
    </row>
    <row r="183" spans="1:27" ht="14.25" x14ac:dyDescent="0.2">
      <c r="A183" s="22"/>
      <c r="B183" s="23"/>
      <c r="C183" s="23" t="s">
        <v>274</v>
      </c>
      <c r="D183" s="24" t="s">
        <v>275</v>
      </c>
      <c r="E183" s="10">
        <f>Source!DN78</f>
        <v>75</v>
      </c>
      <c r="F183" s="26"/>
      <c r="G183" s="25"/>
      <c r="H183" s="10"/>
      <c r="I183" s="27">
        <f>SUM(Q181:Q182)</f>
        <v>466.28</v>
      </c>
      <c r="J183" s="10">
        <f>Source!BZ78</f>
        <v>68</v>
      </c>
      <c r="K183" s="27">
        <f>SUM(R181:R182)</f>
        <v>10492.97</v>
      </c>
    </row>
    <row r="184" spans="1:27" ht="14.25" x14ac:dyDescent="0.2">
      <c r="A184" s="22"/>
      <c r="B184" s="23"/>
      <c r="C184" s="23" t="s">
        <v>276</v>
      </c>
      <c r="D184" s="24" t="s">
        <v>275</v>
      </c>
      <c r="E184" s="10">
        <f>Source!DO78</f>
        <v>70</v>
      </c>
      <c r="F184" s="26"/>
      <c r="G184" s="25"/>
      <c r="H184" s="10"/>
      <c r="I184" s="27">
        <f>SUM(S181:S183)</f>
        <v>435.2</v>
      </c>
      <c r="J184" s="10">
        <f>Source!CA78</f>
        <v>41</v>
      </c>
      <c r="K184" s="27">
        <f>SUM(T181:T183)</f>
        <v>6326.64</v>
      </c>
    </row>
    <row r="185" spans="1:27" ht="14.25" x14ac:dyDescent="0.2">
      <c r="A185" s="22"/>
      <c r="B185" s="23"/>
      <c r="C185" s="23" t="s">
        <v>278</v>
      </c>
      <c r="D185" s="24" t="s">
        <v>279</v>
      </c>
      <c r="E185" s="10">
        <f>Source!AQ78</f>
        <v>7.2</v>
      </c>
      <c r="F185" s="26"/>
      <c r="G185" s="25" t="str">
        <f>Source!DI78</f>
        <v>)*1,3</v>
      </c>
      <c r="H185" s="10">
        <f>Source!AV78</f>
        <v>1</v>
      </c>
      <c r="I185" s="27">
        <f>Source!U78</f>
        <v>37.440000000000005</v>
      </c>
      <c r="J185" s="10"/>
      <c r="K185" s="27"/>
    </row>
    <row r="186" spans="1:27" ht="15" x14ac:dyDescent="0.25">
      <c r="A186" s="30"/>
      <c r="B186" s="30"/>
      <c r="C186" s="30"/>
      <c r="D186" s="30"/>
      <c r="E186" s="30"/>
      <c r="F186" s="30"/>
      <c r="G186" s="30"/>
      <c r="H186" s="54">
        <f>I182+I183+I184</f>
        <v>1523.19</v>
      </c>
      <c r="I186" s="54"/>
      <c r="J186" s="54">
        <f>K182+K183+K184</f>
        <v>32250.449999999997</v>
      </c>
      <c r="K186" s="54"/>
      <c r="O186" s="29">
        <f>I182+I183+I184</f>
        <v>1523.19</v>
      </c>
      <c r="P186" s="29">
        <f>K182+K183+K184</f>
        <v>32250.449999999997</v>
      </c>
      <c r="X186">
        <f>IF(Source!BI78&lt;=1,I182+I183+I184-0, 0)</f>
        <v>0</v>
      </c>
      <c r="Y186">
        <f>IF(Source!BI78=2,I182+I183+I184-0, 0)</f>
        <v>0</v>
      </c>
      <c r="Z186">
        <f>IF(Source!BI78=3,I182+I183+I184-0, 0)</f>
        <v>0</v>
      </c>
      <c r="AA186">
        <f>IF(Source!BI78=4,I182+I183+I184,0)</f>
        <v>1523.19</v>
      </c>
    </row>
    <row r="187" spans="1:27" ht="42.75" x14ac:dyDescent="0.2">
      <c r="A187" s="22" t="str">
        <f>Source!E79</f>
        <v>17</v>
      </c>
      <c r="B187" s="23" t="str">
        <f>Source!F79</f>
        <v>5.1-152-1</v>
      </c>
      <c r="C187" s="23" t="s">
        <v>167</v>
      </c>
      <c r="D187" s="24" t="str">
        <f>Source!H79</f>
        <v>точка</v>
      </c>
      <c r="E187" s="10">
        <f>Source!I79</f>
        <v>54</v>
      </c>
      <c r="F187" s="26"/>
      <c r="G187" s="25"/>
      <c r="H187" s="10"/>
      <c r="I187" s="27"/>
      <c r="J187" s="10"/>
      <c r="K187" s="27"/>
      <c r="Q187">
        <f>ROUND((Source!DN79/100)*ROUND((ROUND((Source!AF79*Source!AV79*Source!I79),2)),2), 2)</f>
        <v>124.78</v>
      </c>
      <c r="R187">
        <f>Source!X79</f>
        <v>2807.92</v>
      </c>
      <c r="S187">
        <f>ROUND((Source!DO79/100)*ROUND((ROUND((Source!AF79*Source!AV79*Source!I79),2)),2), 2)</f>
        <v>116.46</v>
      </c>
      <c r="T187">
        <f>Source!Y79</f>
        <v>1693.01</v>
      </c>
      <c r="U187">
        <f>ROUND((175/100)*ROUND((ROUND((Source!AE79*Source!AV79*Source!I79),2)),2), 2)</f>
        <v>0</v>
      </c>
      <c r="V187">
        <f>ROUND((157/100)*ROUND(ROUND((ROUND((Source!AE79*Source!AV79*Source!I79),2)*Source!BS79),2), 2), 2)</f>
        <v>0</v>
      </c>
    </row>
    <row r="188" spans="1:27" ht="14.25" x14ac:dyDescent="0.2">
      <c r="A188" s="22"/>
      <c r="B188" s="23"/>
      <c r="C188" s="23" t="s">
        <v>270</v>
      </c>
      <c r="D188" s="24"/>
      <c r="E188" s="10"/>
      <c r="F188" s="26">
        <f>Source!AO79</f>
        <v>2.37</v>
      </c>
      <c r="G188" s="25" t="str">
        <f>Source!DG79</f>
        <v>)*1,3</v>
      </c>
      <c r="H188" s="10">
        <f>Source!AV79</f>
        <v>1</v>
      </c>
      <c r="I188" s="27">
        <f>ROUND((ROUND((Source!AF79*Source!AV79*Source!I79),2)),2)</f>
        <v>166.37</v>
      </c>
      <c r="J188" s="10">
        <f>IF(Source!BA79&lt;&gt; 0, Source!BA79, 1)</f>
        <v>24.82</v>
      </c>
      <c r="K188" s="27">
        <f>Source!S79</f>
        <v>4129.3</v>
      </c>
      <c r="W188">
        <f>I188</f>
        <v>166.37</v>
      </c>
    </row>
    <row r="189" spans="1:27" ht="14.25" x14ac:dyDescent="0.2">
      <c r="A189" s="22"/>
      <c r="B189" s="23"/>
      <c r="C189" s="23" t="s">
        <v>274</v>
      </c>
      <c r="D189" s="24" t="s">
        <v>275</v>
      </c>
      <c r="E189" s="10">
        <f>Source!DN79</f>
        <v>75</v>
      </c>
      <c r="F189" s="26"/>
      <c r="G189" s="25"/>
      <c r="H189" s="10"/>
      <c r="I189" s="27">
        <f>SUM(Q187:Q188)</f>
        <v>124.78</v>
      </c>
      <c r="J189" s="10">
        <f>Source!BZ79</f>
        <v>68</v>
      </c>
      <c r="K189" s="27">
        <f>SUM(R187:R188)</f>
        <v>2807.92</v>
      </c>
    </row>
    <row r="190" spans="1:27" ht="14.25" x14ac:dyDescent="0.2">
      <c r="A190" s="22"/>
      <c r="B190" s="23"/>
      <c r="C190" s="23" t="s">
        <v>276</v>
      </c>
      <c r="D190" s="24" t="s">
        <v>275</v>
      </c>
      <c r="E190" s="10">
        <f>Source!DO79</f>
        <v>70</v>
      </c>
      <c r="F190" s="26"/>
      <c r="G190" s="25"/>
      <c r="H190" s="10"/>
      <c r="I190" s="27">
        <f>SUM(S187:S189)</f>
        <v>116.46</v>
      </c>
      <c r="J190" s="10">
        <f>Source!CA79</f>
        <v>41</v>
      </c>
      <c r="K190" s="27">
        <f>SUM(T187:T189)</f>
        <v>1693.01</v>
      </c>
    </row>
    <row r="191" spans="1:27" ht="14.25" x14ac:dyDescent="0.2">
      <c r="A191" s="22"/>
      <c r="B191" s="23"/>
      <c r="C191" s="23" t="s">
        <v>278</v>
      </c>
      <c r="D191" s="24" t="s">
        <v>279</v>
      </c>
      <c r="E191" s="10">
        <f>Source!AQ79</f>
        <v>0.15</v>
      </c>
      <c r="F191" s="26"/>
      <c r="G191" s="25" t="str">
        <f>Source!DI79</f>
        <v>)*1,3</v>
      </c>
      <c r="H191" s="10">
        <f>Source!AV79</f>
        <v>1</v>
      </c>
      <c r="I191" s="27">
        <f>Source!U79</f>
        <v>10.530000000000001</v>
      </c>
      <c r="J191" s="10"/>
      <c r="K191" s="27"/>
    </row>
    <row r="192" spans="1:27" ht="15" x14ac:dyDescent="0.25">
      <c r="A192" s="30"/>
      <c r="B192" s="30"/>
      <c r="C192" s="30"/>
      <c r="D192" s="30"/>
      <c r="E192" s="30"/>
      <c r="F192" s="30"/>
      <c r="G192" s="30"/>
      <c r="H192" s="54">
        <f>I188+I189+I190</f>
        <v>407.60999999999996</v>
      </c>
      <c r="I192" s="54"/>
      <c r="J192" s="54">
        <f>K188+K189+K190</f>
        <v>8630.23</v>
      </c>
      <c r="K192" s="54"/>
      <c r="O192" s="29">
        <f>I188+I189+I190</f>
        <v>407.60999999999996</v>
      </c>
      <c r="P192" s="29">
        <f>K188+K189+K190</f>
        <v>8630.23</v>
      </c>
      <c r="X192">
        <f>IF(Source!BI79&lt;=1,I188+I189+I190-0, 0)</f>
        <v>0</v>
      </c>
      <c r="Y192">
        <f>IF(Source!BI79=2,I188+I189+I190-0, 0)</f>
        <v>0</v>
      </c>
      <c r="Z192">
        <f>IF(Source!BI79=3,I188+I189+I190-0, 0)</f>
        <v>0</v>
      </c>
      <c r="AA192">
        <f>IF(Source!BI79=4,I188+I189+I190,0)</f>
        <v>407.60999999999996</v>
      </c>
    </row>
    <row r="193" spans="1:27" ht="28.5" x14ac:dyDescent="0.2">
      <c r="A193" s="22" t="str">
        <f>Source!E80</f>
        <v>18</v>
      </c>
      <c r="B193" s="23" t="str">
        <f>Source!F80</f>
        <v>5.1-154-1</v>
      </c>
      <c r="C193" s="23" t="s">
        <v>172</v>
      </c>
      <c r="D193" s="24" t="str">
        <f>Source!H80</f>
        <v>токоприемник</v>
      </c>
      <c r="E193" s="10">
        <f>Source!I80</f>
        <v>20</v>
      </c>
      <c r="F193" s="26"/>
      <c r="G193" s="25"/>
      <c r="H193" s="10"/>
      <c r="I193" s="27"/>
      <c r="J193" s="10"/>
      <c r="K193" s="27"/>
      <c r="Q193">
        <f>ROUND((Source!DN80/100)*ROUND((ROUND((Source!AF80*Source!AV80*Source!I80),2)),2), 2)</f>
        <v>308.69</v>
      </c>
      <c r="R193">
        <f>Source!X80</f>
        <v>6946.49</v>
      </c>
      <c r="S193">
        <f>ROUND((Source!DO80/100)*ROUND((ROUND((Source!AF80*Source!AV80*Source!I80),2)),2), 2)</f>
        <v>288.11</v>
      </c>
      <c r="T193">
        <f>Source!Y80</f>
        <v>4188.32</v>
      </c>
      <c r="U193">
        <f>ROUND((175/100)*ROUND((ROUND((Source!AE80*Source!AV80*Source!I80),2)),2), 2)</f>
        <v>0</v>
      </c>
      <c r="V193">
        <f>ROUND((157/100)*ROUND(ROUND((ROUND((Source!AE80*Source!AV80*Source!I80),2)*Source!BS80),2), 2), 2)</f>
        <v>0</v>
      </c>
    </row>
    <row r="194" spans="1:27" ht="14.25" x14ac:dyDescent="0.2">
      <c r="A194" s="22"/>
      <c r="B194" s="23"/>
      <c r="C194" s="23" t="s">
        <v>270</v>
      </c>
      <c r="D194" s="24"/>
      <c r="E194" s="10"/>
      <c r="F194" s="26">
        <f>Source!AO80</f>
        <v>15.83</v>
      </c>
      <c r="G194" s="25" t="str">
        <f>Source!DG80</f>
        <v>)*1,3</v>
      </c>
      <c r="H194" s="10">
        <f>Source!AV80</f>
        <v>1</v>
      </c>
      <c r="I194" s="27">
        <f>ROUND((ROUND((Source!AF80*Source!AV80*Source!I80),2)),2)</f>
        <v>411.58</v>
      </c>
      <c r="J194" s="10">
        <f>IF(Source!BA80&lt;&gt; 0, Source!BA80, 1)</f>
        <v>24.82</v>
      </c>
      <c r="K194" s="27">
        <f>Source!S80</f>
        <v>10215.42</v>
      </c>
      <c r="W194">
        <f>I194</f>
        <v>411.58</v>
      </c>
    </row>
    <row r="195" spans="1:27" ht="14.25" x14ac:dyDescent="0.2">
      <c r="A195" s="22"/>
      <c r="B195" s="23"/>
      <c r="C195" s="23" t="s">
        <v>274</v>
      </c>
      <c r="D195" s="24" t="s">
        <v>275</v>
      </c>
      <c r="E195" s="10">
        <f>Source!DN80</f>
        <v>75</v>
      </c>
      <c r="F195" s="26"/>
      <c r="G195" s="25"/>
      <c r="H195" s="10"/>
      <c r="I195" s="27">
        <f>SUM(Q193:Q194)</f>
        <v>308.69</v>
      </c>
      <c r="J195" s="10">
        <f>Source!BZ80</f>
        <v>68</v>
      </c>
      <c r="K195" s="27">
        <f>SUM(R193:R194)</f>
        <v>6946.49</v>
      </c>
    </row>
    <row r="196" spans="1:27" ht="14.25" x14ac:dyDescent="0.2">
      <c r="A196" s="22"/>
      <c r="B196" s="23"/>
      <c r="C196" s="23" t="s">
        <v>276</v>
      </c>
      <c r="D196" s="24" t="s">
        <v>275</v>
      </c>
      <c r="E196" s="10">
        <f>Source!DO80</f>
        <v>70</v>
      </c>
      <c r="F196" s="26"/>
      <c r="G196" s="25"/>
      <c r="H196" s="10"/>
      <c r="I196" s="27">
        <f>SUM(S193:S195)</f>
        <v>288.11</v>
      </c>
      <c r="J196" s="10">
        <f>Source!CA80</f>
        <v>41</v>
      </c>
      <c r="K196" s="27">
        <f>SUM(T193:T195)</f>
        <v>4188.32</v>
      </c>
    </row>
    <row r="197" spans="1:27" ht="14.25" x14ac:dyDescent="0.2">
      <c r="A197" s="22"/>
      <c r="B197" s="23"/>
      <c r="C197" s="23" t="s">
        <v>278</v>
      </c>
      <c r="D197" s="24" t="s">
        <v>279</v>
      </c>
      <c r="E197" s="10">
        <f>Source!AQ80</f>
        <v>1</v>
      </c>
      <c r="F197" s="26"/>
      <c r="G197" s="25" t="str">
        <f>Source!DI80</f>
        <v>)*1,3</v>
      </c>
      <c r="H197" s="10">
        <f>Source!AV80</f>
        <v>1</v>
      </c>
      <c r="I197" s="27">
        <f>Source!U80</f>
        <v>26</v>
      </c>
      <c r="J197" s="10"/>
      <c r="K197" s="27"/>
    </row>
    <row r="198" spans="1:27" ht="15" x14ac:dyDescent="0.25">
      <c r="A198" s="30"/>
      <c r="B198" s="30"/>
      <c r="C198" s="30"/>
      <c r="D198" s="30"/>
      <c r="E198" s="30"/>
      <c r="F198" s="30"/>
      <c r="G198" s="30"/>
      <c r="H198" s="54">
        <f>I194+I195+I196</f>
        <v>1008.38</v>
      </c>
      <c r="I198" s="54"/>
      <c r="J198" s="54">
        <f>K194+K195+K196</f>
        <v>21350.23</v>
      </c>
      <c r="K198" s="54"/>
      <c r="O198" s="29">
        <f>I194+I195+I196</f>
        <v>1008.38</v>
      </c>
      <c r="P198" s="29">
        <f>K194+K195+K196</f>
        <v>21350.23</v>
      </c>
      <c r="X198">
        <f>IF(Source!BI80&lt;=1,I194+I195+I196-0, 0)</f>
        <v>0</v>
      </c>
      <c r="Y198">
        <f>IF(Source!BI80=2,I194+I195+I196-0, 0)</f>
        <v>0</v>
      </c>
      <c r="Z198">
        <f>IF(Source!BI80=3,I194+I195+I196-0, 0)</f>
        <v>0</v>
      </c>
      <c r="AA198">
        <f>IF(Source!BI80=4,I194+I195+I196,0)</f>
        <v>1008.38</v>
      </c>
    </row>
    <row r="199" spans="1:27" ht="42.75" x14ac:dyDescent="0.2">
      <c r="A199" s="22" t="str">
        <f>Source!E81</f>
        <v>19</v>
      </c>
      <c r="B199" s="23" t="str">
        <f>Source!F81</f>
        <v>5.1-158-1</v>
      </c>
      <c r="C199" s="23" t="s">
        <v>177</v>
      </c>
      <c r="D199" s="24" t="str">
        <f>Source!H81</f>
        <v>фазировка</v>
      </c>
      <c r="E199" s="10">
        <f>Source!I81</f>
        <v>16</v>
      </c>
      <c r="F199" s="26"/>
      <c r="G199" s="25"/>
      <c r="H199" s="10"/>
      <c r="I199" s="27"/>
      <c r="J199" s="10"/>
      <c r="K199" s="27"/>
      <c r="Q199">
        <f>ROUND((Source!DN81/100)*ROUND((ROUND((Source!AF81*Source!AV81*Source!I81),2)),2), 2)</f>
        <v>222.14</v>
      </c>
      <c r="R199">
        <f>Source!X81</f>
        <v>4998.9799999999996</v>
      </c>
      <c r="S199">
        <f>ROUND((Source!DO81/100)*ROUND((ROUND((Source!AF81*Source!AV81*Source!I81),2)),2), 2)</f>
        <v>207.33</v>
      </c>
      <c r="T199">
        <f>Source!Y81</f>
        <v>3014.09</v>
      </c>
      <c r="U199">
        <f>ROUND((175/100)*ROUND((ROUND((Source!AE81*Source!AV81*Source!I81),2)),2), 2)</f>
        <v>0</v>
      </c>
      <c r="V199">
        <f>ROUND((157/100)*ROUND(ROUND((ROUND((Source!AE81*Source!AV81*Source!I81),2)*Source!BS81),2), 2), 2)</f>
        <v>0</v>
      </c>
    </row>
    <row r="200" spans="1:27" ht="14.25" x14ac:dyDescent="0.2">
      <c r="A200" s="22"/>
      <c r="B200" s="23"/>
      <c r="C200" s="23" t="s">
        <v>270</v>
      </c>
      <c r="D200" s="24"/>
      <c r="E200" s="10"/>
      <c r="F200" s="26">
        <f>Source!AO81</f>
        <v>14.24</v>
      </c>
      <c r="G200" s="25" t="str">
        <f>Source!DG81</f>
        <v>)*1,3</v>
      </c>
      <c r="H200" s="10">
        <f>Source!AV81</f>
        <v>1</v>
      </c>
      <c r="I200" s="27">
        <f>ROUND((ROUND((Source!AF81*Source!AV81*Source!I81),2)),2)</f>
        <v>296.19</v>
      </c>
      <c r="J200" s="10">
        <f>IF(Source!BA81&lt;&gt; 0, Source!BA81, 1)</f>
        <v>24.82</v>
      </c>
      <c r="K200" s="27">
        <f>Source!S81</f>
        <v>7351.44</v>
      </c>
      <c r="W200">
        <f>I200</f>
        <v>296.19</v>
      </c>
    </row>
    <row r="201" spans="1:27" ht="14.25" x14ac:dyDescent="0.2">
      <c r="A201" s="22"/>
      <c r="B201" s="23"/>
      <c r="C201" s="23" t="s">
        <v>274</v>
      </c>
      <c r="D201" s="24" t="s">
        <v>275</v>
      </c>
      <c r="E201" s="10">
        <f>Source!DN81</f>
        <v>75</v>
      </c>
      <c r="F201" s="26"/>
      <c r="G201" s="25"/>
      <c r="H201" s="10"/>
      <c r="I201" s="27">
        <f>SUM(Q199:Q200)</f>
        <v>222.14</v>
      </c>
      <c r="J201" s="10">
        <f>Source!BZ81</f>
        <v>68</v>
      </c>
      <c r="K201" s="27">
        <f>SUM(R199:R200)</f>
        <v>4998.9799999999996</v>
      </c>
    </row>
    <row r="202" spans="1:27" ht="14.25" x14ac:dyDescent="0.2">
      <c r="A202" s="22"/>
      <c r="B202" s="23"/>
      <c r="C202" s="23" t="s">
        <v>276</v>
      </c>
      <c r="D202" s="24" t="s">
        <v>275</v>
      </c>
      <c r="E202" s="10">
        <f>Source!DO81</f>
        <v>70</v>
      </c>
      <c r="F202" s="26"/>
      <c r="G202" s="25"/>
      <c r="H202" s="10"/>
      <c r="I202" s="27">
        <f>SUM(S199:S201)</f>
        <v>207.33</v>
      </c>
      <c r="J202" s="10">
        <f>Source!CA81</f>
        <v>41</v>
      </c>
      <c r="K202" s="27">
        <f>SUM(T199:T201)</f>
        <v>3014.09</v>
      </c>
    </row>
    <row r="203" spans="1:27" ht="14.25" x14ac:dyDescent="0.2">
      <c r="A203" s="22"/>
      <c r="B203" s="23"/>
      <c r="C203" s="23" t="s">
        <v>278</v>
      </c>
      <c r="D203" s="24" t="s">
        <v>279</v>
      </c>
      <c r="E203" s="10">
        <f>Source!AQ81</f>
        <v>0.9</v>
      </c>
      <c r="F203" s="26"/>
      <c r="G203" s="25" t="str">
        <f>Source!DI81</f>
        <v>)*1,3</v>
      </c>
      <c r="H203" s="10">
        <f>Source!AV81</f>
        <v>1</v>
      </c>
      <c r="I203" s="27">
        <f>Source!U81</f>
        <v>18.720000000000002</v>
      </c>
      <c r="J203" s="10"/>
      <c r="K203" s="27"/>
    </row>
    <row r="204" spans="1:27" ht="15" x14ac:dyDescent="0.25">
      <c r="A204" s="30"/>
      <c r="B204" s="30"/>
      <c r="C204" s="30"/>
      <c r="D204" s="30"/>
      <c r="E204" s="30"/>
      <c r="F204" s="30"/>
      <c r="G204" s="30"/>
      <c r="H204" s="54">
        <f>I200+I201+I202</f>
        <v>725.66</v>
      </c>
      <c r="I204" s="54"/>
      <c r="J204" s="54">
        <f>K200+K201+K202</f>
        <v>15364.509999999998</v>
      </c>
      <c r="K204" s="54"/>
      <c r="O204" s="29">
        <f>I200+I201+I202</f>
        <v>725.66</v>
      </c>
      <c r="P204" s="29">
        <f>K200+K201+K202</f>
        <v>15364.509999999998</v>
      </c>
      <c r="X204">
        <f>IF(Source!BI81&lt;=1,I200+I201+I202-0, 0)</f>
        <v>0</v>
      </c>
      <c r="Y204">
        <f>IF(Source!BI81=2,I200+I201+I202-0, 0)</f>
        <v>0</v>
      </c>
      <c r="Z204">
        <f>IF(Source!BI81=3,I200+I201+I202-0, 0)</f>
        <v>0</v>
      </c>
      <c r="AA204">
        <f>IF(Source!BI81=4,I200+I201+I202,0)</f>
        <v>725.66</v>
      </c>
    </row>
    <row r="205" spans="1:27" ht="128.25" x14ac:dyDescent="0.2">
      <c r="A205" s="22" t="str">
        <f>Source!E82</f>
        <v>20</v>
      </c>
      <c r="B205" s="23" t="str">
        <f>Source!F82</f>
        <v>5.1-162-1</v>
      </c>
      <c r="C205" s="23" t="s">
        <v>182</v>
      </c>
      <c r="D205" s="24" t="str">
        <f>Source!H82</f>
        <v>измерение</v>
      </c>
      <c r="E205" s="10">
        <f>Source!I82</f>
        <v>112</v>
      </c>
      <c r="F205" s="26"/>
      <c r="G205" s="25"/>
      <c r="H205" s="10"/>
      <c r="I205" s="27"/>
      <c r="J205" s="10"/>
      <c r="K205" s="27"/>
      <c r="Q205">
        <f>ROUND((Source!DN82/100)*ROUND((ROUND((Source!AF82*Source!AV82*Source!I82),2)),2), 2)</f>
        <v>622.44000000000005</v>
      </c>
      <c r="R205">
        <f>Source!X82</f>
        <v>14007.05</v>
      </c>
      <c r="S205">
        <f>ROUND((Source!DO82/100)*ROUND((ROUND((Source!AF82*Source!AV82*Source!I82),2)),2), 2)</f>
        <v>580.94000000000005</v>
      </c>
      <c r="T205">
        <f>Source!Y82</f>
        <v>8445.43</v>
      </c>
      <c r="U205">
        <f>ROUND((175/100)*ROUND((ROUND((Source!AE82*Source!AV82*Source!I82),2)),2), 2)</f>
        <v>0</v>
      </c>
      <c r="V205">
        <f>ROUND((157/100)*ROUND(ROUND((ROUND((Source!AE82*Source!AV82*Source!I82),2)*Source!BS82),2), 2), 2)</f>
        <v>0</v>
      </c>
    </row>
    <row r="206" spans="1:27" ht="14.25" x14ac:dyDescent="0.2">
      <c r="A206" s="22"/>
      <c r="B206" s="23"/>
      <c r="C206" s="23" t="s">
        <v>270</v>
      </c>
      <c r="D206" s="24"/>
      <c r="E206" s="10"/>
      <c r="F206" s="26">
        <f>Source!AO82</f>
        <v>5.7</v>
      </c>
      <c r="G206" s="25" t="str">
        <f>Source!DG82</f>
        <v>)*1,3</v>
      </c>
      <c r="H206" s="10">
        <f>Source!AV82</f>
        <v>1</v>
      </c>
      <c r="I206" s="27">
        <f>ROUND((ROUND((Source!AF82*Source!AV82*Source!I82),2)),2)</f>
        <v>829.92</v>
      </c>
      <c r="J206" s="10">
        <f>IF(Source!BA82&lt;&gt; 0, Source!BA82, 1)</f>
        <v>24.82</v>
      </c>
      <c r="K206" s="27">
        <f>Source!S82</f>
        <v>20598.61</v>
      </c>
      <c r="W206">
        <f>I206</f>
        <v>829.92</v>
      </c>
    </row>
    <row r="207" spans="1:27" ht="14.25" x14ac:dyDescent="0.2">
      <c r="A207" s="22"/>
      <c r="B207" s="23"/>
      <c r="C207" s="23" t="s">
        <v>274</v>
      </c>
      <c r="D207" s="24" t="s">
        <v>275</v>
      </c>
      <c r="E207" s="10">
        <f>Source!DN82</f>
        <v>75</v>
      </c>
      <c r="F207" s="26"/>
      <c r="G207" s="25"/>
      <c r="H207" s="10"/>
      <c r="I207" s="27">
        <f>SUM(Q205:Q206)</f>
        <v>622.44000000000005</v>
      </c>
      <c r="J207" s="10">
        <f>Source!BZ82</f>
        <v>68</v>
      </c>
      <c r="K207" s="27">
        <f>SUM(R205:R206)</f>
        <v>14007.05</v>
      </c>
    </row>
    <row r="208" spans="1:27" ht="14.25" x14ac:dyDescent="0.2">
      <c r="A208" s="22"/>
      <c r="B208" s="23"/>
      <c r="C208" s="23" t="s">
        <v>276</v>
      </c>
      <c r="D208" s="24" t="s">
        <v>275</v>
      </c>
      <c r="E208" s="10">
        <f>Source!DO82</f>
        <v>70</v>
      </c>
      <c r="F208" s="26"/>
      <c r="G208" s="25"/>
      <c r="H208" s="10"/>
      <c r="I208" s="27">
        <f>SUM(S205:S207)</f>
        <v>580.94000000000005</v>
      </c>
      <c r="J208" s="10">
        <f>Source!CA82</f>
        <v>41</v>
      </c>
      <c r="K208" s="27">
        <f>SUM(T205:T207)</f>
        <v>8445.43</v>
      </c>
    </row>
    <row r="209" spans="1:27" ht="14.25" x14ac:dyDescent="0.2">
      <c r="A209" s="22"/>
      <c r="B209" s="23"/>
      <c r="C209" s="23" t="s">
        <v>278</v>
      </c>
      <c r="D209" s="24" t="s">
        <v>279</v>
      </c>
      <c r="E209" s="10">
        <f>Source!AQ82</f>
        <v>0.36</v>
      </c>
      <c r="F209" s="26"/>
      <c r="G209" s="25" t="str">
        <f>Source!DI82</f>
        <v>)*1,3</v>
      </c>
      <c r="H209" s="10">
        <f>Source!AV82</f>
        <v>1</v>
      </c>
      <c r="I209" s="27">
        <f>Source!U82</f>
        <v>52.415999999999997</v>
      </c>
      <c r="J209" s="10"/>
      <c r="K209" s="27"/>
    </row>
    <row r="210" spans="1:27" ht="15" x14ac:dyDescent="0.25">
      <c r="A210" s="30"/>
      <c r="B210" s="30"/>
      <c r="C210" s="30"/>
      <c r="D210" s="30"/>
      <c r="E210" s="30"/>
      <c r="F210" s="30"/>
      <c r="G210" s="30"/>
      <c r="H210" s="54">
        <f>I206+I207+I208</f>
        <v>2033.3000000000002</v>
      </c>
      <c r="I210" s="54"/>
      <c r="J210" s="54">
        <f>K206+K207+K208</f>
        <v>43051.090000000004</v>
      </c>
      <c r="K210" s="54"/>
      <c r="O210" s="29">
        <f>I206+I207+I208</f>
        <v>2033.3000000000002</v>
      </c>
      <c r="P210" s="29">
        <f>K206+K207+K208</f>
        <v>43051.090000000004</v>
      </c>
      <c r="X210">
        <f>IF(Source!BI82&lt;=1,I206+I207+I208-0, 0)</f>
        <v>0</v>
      </c>
      <c r="Y210">
        <f>IF(Source!BI82=2,I206+I207+I208-0, 0)</f>
        <v>0</v>
      </c>
      <c r="Z210">
        <f>IF(Source!BI82=3,I206+I207+I208-0, 0)</f>
        <v>0</v>
      </c>
      <c r="AA210">
        <f>IF(Source!BI82=4,I206+I207+I208,0)</f>
        <v>2033.3000000000002</v>
      </c>
    </row>
    <row r="211" spans="1:27" ht="42.75" x14ac:dyDescent="0.2">
      <c r="A211" s="22" t="str">
        <f>Source!E83</f>
        <v>21</v>
      </c>
      <c r="B211" s="23" t="str">
        <f>Source!F83</f>
        <v>5.1-162-2</v>
      </c>
      <c r="C211" s="23" t="s">
        <v>187</v>
      </c>
      <c r="D211" s="24" t="str">
        <f>Source!H83</f>
        <v>измерение</v>
      </c>
      <c r="E211" s="10">
        <f>Source!I83</f>
        <v>28</v>
      </c>
      <c r="F211" s="26"/>
      <c r="G211" s="25"/>
      <c r="H211" s="10"/>
      <c r="I211" s="27"/>
      <c r="J211" s="10"/>
      <c r="K211" s="27"/>
      <c r="Q211">
        <f>ROUND((Source!DN83/100)*ROUND((ROUND((Source!AF83*Source!AV83*Source!I83),2)),2), 2)</f>
        <v>43.13</v>
      </c>
      <c r="R211">
        <f>Source!X83</f>
        <v>970.63</v>
      </c>
      <c r="S211">
        <f>ROUND((Source!DO83/100)*ROUND((ROUND((Source!AF83*Source!AV83*Source!I83),2)),2), 2)</f>
        <v>40.26</v>
      </c>
      <c r="T211">
        <f>Source!Y83</f>
        <v>585.23</v>
      </c>
      <c r="U211">
        <f>ROUND((175/100)*ROUND((ROUND((Source!AE83*Source!AV83*Source!I83),2)),2), 2)</f>
        <v>0</v>
      </c>
      <c r="V211">
        <f>ROUND((157/100)*ROUND(ROUND((ROUND((Source!AE83*Source!AV83*Source!I83),2)*Source!BS83),2), 2), 2)</f>
        <v>0</v>
      </c>
    </row>
    <row r="212" spans="1:27" ht="14.25" x14ac:dyDescent="0.2">
      <c r="A212" s="22"/>
      <c r="B212" s="23"/>
      <c r="C212" s="23" t="s">
        <v>270</v>
      </c>
      <c r="D212" s="24"/>
      <c r="E212" s="10"/>
      <c r="F212" s="26">
        <f>Source!AO83</f>
        <v>1.58</v>
      </c>
      <c r="G212" s="25" t="str">
        <f>Source!DG83</f>
        <v>)*1,3</v>
      </c>
      <c r="H212" s="10">
        <f>Source!AV83</f>
        <v>1</v>
      </c>
      <c r="I212" s="27">
        <f>ROUND((ROUND((Source!AF83*Source!AV83*Source!I83),2)),2)</f>
        <v>57.51</v>
      </c>
      <c r="J212" s="10">
        <f>IF(Source!BA83&lt;&gt; 0, Source!BA83, 1)</f>
        <v>24.82</v>
      </c>
      <c r="K212" s="27">
        <f>Source!S83</f>
        <v>1427.4</v>
      </c>
      <c r="W212">
        <f>I212</f>
        <v>57.51</v>
      </c>
    </row>
    <row r="213" spans="1:27" ht="14.25" x14ac:dyDescent="0.2">
      <c r="A213" s="22"/>
      <c r="B213" s="23"/>
      <c r="C213" s="23" t="s">
        <v>274</v>
      </c>
      <c r="D213" s="24" t="s">
        <v>275</v>
      </c>
      <c r="E213" s="10">
        <f>Source!DN83</f>
        <v>75</v>
      </c>
      <c r="F213" s="26"/>
      <c r="G213" s="25"/>
      <c r="H213" s="10"/>
      <c r="I213" s="27">
        <f>SUM(Q211:Q212)</f>
        <v>43.13</v>
      </c>
      <c r="J213" s="10">
        <f>Source!BZ83</f>
        <v>68</v>
      </c>
      <c r="K213" s="27">
        <f>SUM(R211:R212)</f>
        <v>970.63</v>
      </c>
    </row>
    <row r="214" spans="1:27" ht="14.25" x14ac:dyDescent="0.2">
      <c r="A214" s="22"/>
      <c r="B214" s="23"/>
      <c r="C214" s="23" t="s">
        <v>276</v>
      </c>
      <c r="D214" s="24" t="s">
        <v>275</v>
      </c>
      <c r="E214" s="10">
        <f>Source!DO83</f>
        <v>70</v>
      </c>
      <c r="F214" s="26"/>
      <c r="G214" s="25"/>
      <c r="H214" s="10"/>
      <c r="I214" s="27">
        <f>SUM(S211:S213)</f>
        <v>40.26</v>
      </c>
      <c r="J214" s="10">
        <f>Source!CA83</f>
        <v>41</v>
      </c>
      <c r="K214" s="27">
        <f>SUM(T211:T213)</f>
        <v>585.23</v>
      </c>
    </row>
    <row r="215" spans="1:27" ht="14.25" x14ac:dyDescent="0.2">
      <c r="A215" s="22"/>
      <c r="B215" s="23"/>
      <c r="C215" s="23" t="s">
        <v>278</v>
      </c>
      <c r="D215" s="24" t="s">
        <v>279</v>
      </c>
      <c r="E215" s="10">
        <f>Source!AQ83</f>
        <v>0.1</v>
      </c>
      <c r="F215" s="26"/>
      <c r="G215" s="25" t="str">
        <f>Source!DI83</f>
        <v>)*1,3</v>
      </c>
      <c r="H215" s="10">
        <f>Source!AV83</f>
        <v>1</v>
      </c>
      <c r="I215" s="27">
        <f>Source!U83</f>
        <v>3.64</v>
      </c>
      <c r="J215" s="10"/>
      <c r="K215" s="27"/>
    </row>
    <row r="216" spans="1:27" ht="15" x14ac:dyDescent="0.25">
      <c r="A216" s="30"/>
      <c r="B216" s="30"/>
      <c r="C216" s="30"/>
      <c r="D216" s="30"/>
      <c r="E216" s="30"/>
      <c r="F216" s="30"/>
      <c r="G216" s="30"/>
      <c r="H216" s="54">
        <f>I212+I213+I214</f>
        <v>140.9</v>
      </c>
      <c r="I216" s="54"/>
      <c r="J216" s="54">
        <f>K212+K213+K214</f>
        <v>2983.26</v>
      </c>
      <c r="K216" s="54"/>
      <c r="O216" s="29">
        <f>I212+I213+I214</f>
        <v>140.9</v>
      </c>
      <c r="P216" s="29">
        <f>K212+K213+K214</f>
        <v>2983.26</v>
      </c>
      <c r="X216">
        <f>IF(Source!BI83&lt;=1,I212+I213+I214-0, 0)</f>
        <v>0</v>
      </c>
      <c r="Y216">
        <f>IF(Source!BI83=2,I212+I213+I214-0, 0)</f>
        <v>0</v>
      </c>
      <c r="Z216">
        <f>IF(Source!BI83=3,I212+I213+I214-0, 0)</f>
        <v>0</v>
      </c>
      <c r="AA216">
        <f>IF(Source!BI83=4,I212+I213+I214,0)</f>
        <v>140.9</v>
      </c>
    </row>
    <row r="217" spans="1:27" ht="57" x14ac:dyDescent="0.2">
      <c r="A217" s="22" t="str">
        <f>Source!E84</f>
        <v>22</v>
      </c>
      <c r="B217" s="23" t="str">
        <f>Source!F84</f>
        <v>5.1-156-5</v>
      </c>
      <c r="C217" s="23" t="s">
        <v>191</v>
      </c>
      <c r="D217" s="24" t="str">
        <f>Source!H84</f>
        <v>измерение</v>
      </c>
      <c r="E217" s="10">
        <f>Source!I84</f>
        <v>28</v>
      </c>
      <c r="F217" s="26"/>
      <c r="G217" s="25"/>
      <c r="H217" s="10"/>
      <c r="I217" s="27"/>
      <c r="J217" s="10"/>
      <c r="K217" s="27"/>
      <c r="Q217">
        <f>ROUND((Source!DN84/100)*ROUND((ROUND((Source!AF84*Source!AV84*Source!I84),2)),2), 2)</f>
        <v>194.38</v>
      </c>
      <c r="R217">
        <f>Source!X84</f>
        <v>4374.17</v>
      </c>
      <c r="S217">
        <f>ROUND((Source!DO84/100)*ROUND((ROUND((Source!AF84*Source!AV84*Source!I84),2)),2), 2)</f>
        <v>181.42</v>
      </c>
      <c r="T217">
        <f>Source!Y84</f>
        <v>2637.37</v>
      </c>
      <c r="U217">
        <f>ROUND((175/100)*ROUND((ROUND((Source!AE84*Source!AV84*Source!I84),2)),2), 2)</f>
        <v>0</v>
      </c>
      <c r="V217">
        <f>ROUND((157/100)*ROUND(ROUND((ROUND((Source!AE84*Source!AV84*Source!I84),2)*Source!BS84),2), 2), 2)</f>
        <v>0</v>
      </c>
    </row>
    <row r="218" spans="1:27" ht="14.25" x14ac:dyDescent="0.2">
      <c r="A218" s="22"/>
      <c r="B218" s="23"/>
      <c r="C218" s="23" t="s">
        <v>270</v>
      </c>
      <c r="D218" s="24"/>
      <c r="E218" s="10"/>
      <c r="F218" s="26">
        <f>Source!AO84</f>
        <v>7.12</v>
      </c>
      <c r="G218" s="25" t="str">
        <f>Source!DG84</f>
        <v>)*1,3</v>
      </c>
      <c r="H218" s="10">
        <f>Source!AV84</f>
        <v>1</v>
      </c>
      <c r="I218" s="27">
        <f>ROUND((ROUND((Source!AF84*Source!AV84*Source!I84),2)),2)</f>
        <v>259.17</v>
      </c>
      <c r="J218" s="10">
        <f>IF(Source!BA84&lt;&gt; 0, Source!BA84, 1)</f>
        <v>24.82</v>
      </c>
      <c r="K218" s="27">
        <f>Source!S84</f>
        <v>6432.6</v>
      </c>
      <c r="W218">
        <f>I218</f>
        <v>259.17</v>
      </c>
    </row>
    <row r="219" spans="1:27" ht="14.25" x14ac:dyDescent="0.2">
      <c r="A219" s="22"/>
      <c r="B219" s="23"/>
      <c r="C219" s="23" t="s">
        <v>274</v>
      </c>
      <c r="D219" s="24" t="s">
        <v>275</v>
      </c>
      <c r="E219" s="10">
        <f>Source!DN84</f>
        <v>75</v>
      </c>
      <c r="F219" s="26"/>
      <c r="G219" s="25"/>
      <c r="H219" s="10"/>
      <c r="I219" s="27">
        <f>SUM(Q217:Q218)</f>
        <v>194.38</v>
      </c>
      <c r="J219" s="10">
        <f>Source!BZ84</f>
        <v>68</v>
      </c>
      <c r="K219" s="27">
        <f>SUM(R217:R218)</f>
        <v>4374.17</v>
      </c>
    </row>
    <row r="220" spans="1:27" ht="14.25" x14ac:dyDescent="0.2">
      <c r="A220" s="22"/>
      <c r="B220" s="23"/>
      <c r="C220" s="23" t="s">
        <v>276</v>
      </c>
      <c r="D220" s="24" t="s">
        <v>275</v>
      </c>
      <c r="E220" s="10">
        <f>Source!DO84</f>
        <v>70</v>
      </c>
      <c r="F220" s="26"/>
      <c r="G220" s="25"/>
      <c r="H220" s="10"/>
      <c r="I220" s="27">
        <f>SUM(S217:S219)</f>
        <v>181.42</v>
      </c>
      <c r="J220" s="10">
        <f>Source!CA84</f>
        <v>41</v>
      </c>
      <c r="K220" s="27">
        <f>SUM(T217:T219)</f>
        <v>2637.37</v>
      </c>
    </row>
    <row r="221" spans="1:27" ht="14.25" x14ac:dyDescent="0.2">
      <c r="A221" s="22"/>
      <c r="B221" s="23"/>
      <c r="C221" s="23" t="s">
        <v>278</v>
      </c>
      <c r="D221" s="24" t="s">
        <v>279</v>
      </c>
      <c r="E221" s="10">
        <f>Source!AQ84</f>
        <v>0.45</v>
      </c>
      <c r="F221" s="26"/>
      <c r="G221" s="25" t="str">
        <f>Source!DI84</f>
        <v>)*1,3</v>
      </c>
      <c r="H221" s="10">
        <f>Source!AV84</f>
        <v>1</v>
      </c>
      <c r="I221" s="27">
        <f>Source!U84</f>
        <v>16.380000000000003</v>
      </c>
      <c r="J221" s="10"/>
      <c r="K221" s="27"/>
    </row>
    <row r="222" spans="1:27" ht="15" x14ac:dyDescent="0.25">
      <c r="A222" s="30"/>
      <c r="B222" s="30"/>
      <c r="C222" s="30"/>
      <c r="D222" s="30"/>
      <c r="E222" s="30"/>
      <c r="F222" s="30"/>
      <c r="G222" s="30"/>
      <c r="H222" s="54">
        <f>I218+I219+I220</f>
        <v>634.97</v>
      </c>
      <c r="I222" s="54"/>
      <c r="J222" s="54">
        <f>K218+K219+K220</f>
        <v>13444.14</v>
      </c>
      <c r="K222" s="54"/>
      <c r="O222" s="29">
        <f>I218+I219+I220</f>
        <v>634.97</v>
      </c>
      <c r="P222" s="29">
        <f>K218+K219+K220</f>
        <v>13444.14</v>
      </c>
      <c r="X222">
        <f>IF(Source!BI84&lt;=1,I218+I219+I220-0, 0)</f>
        <v>0</v>
      </c>
      <c r="Y222">
        <f>IF(Source!BI84=2,I218+I219+I220-0, 0)</f>
        <v>0</v>
      </c>
      <c r="Z222">
        <f>IF(Source!BI84=3,I218+I219+I220-0, 0)</f>
        <v>0</v>
      </c>
      <c r="AA222">
        <f>IF(Source!BI84=4,I218+I219+I220,0)</f>
        <v>634.97</v>
      </c>
    </row>
    <row r="224" spans="1:27" ht="15" x14ac:dyDescent="0.25">
      <c r="A224" s="53" t="str">
        <f>CONCATENATE("Итого по разделу: ",IF(Source!G86&lt;&gt;"Новый раздел", Source!G86, ""))</f>
        <v>Итого по разделу: Пусконаладочные работы.</v>
      </c>
      <c r="B224" s="53"/>
      <c r="C224" s="53"/>
      <c r="D224" s="53"/>
      <c r="E224" s="53"/>
      <c r="F224" s="53"/>
      <c r="G224" s="53"/>
      <c r="H224" s="51">
        <f>SUM(O162:O223)</f>
        <v>13617.95</v>
      </c>
      <c r="I224" s="52"/>
      <c r="J224" s="51">
        <f>SUM(P162:P223)</f>
        <v>283849.59000000008</v>
      </c>
      <c r="K224" s="52"/>
    </row>
    <row r="225" spans="1:27" hidden="1" x14ac:dyDescent="0.2">
      <c r="A225" t="s">
        <v>280</v>
      </c>
      <c r="H225">
        <f>SUM(AC162:AC224)</f>
        <v>0</v>
      </c>
      <c r="J225">
        <f>SUM(AD162:AD224)</f>
        <v>0</v>
      </c>
    </row>
    <row r="226" spans="1:27" hidden="1" x14ac:dyDescent="0.2">
      <c r="A226" t="s">
        <v>281</v>
      </c>
      <c r="H226">
        <f>SUM(AE162:AE225)</f>
        <v>0</v>
      </c>
      <c r="J226">
        <f>SUM(AF162:AF225)</f>
        <v>0</v>
      </c>
    </row>
    <row r="228" spans="1:27" ht="16.5" x14ac:dyDescent="0.25">
      <c r="A228" s="55" t="str">
        <f>CONCATENATE("Раздел: ",IF(Source!G116&lt;&gt;"Новый раздел", Source!G116, ""))</f>
        <v>Раздел: Материалы, не учтенные ценником и оборудование.</v>
      </c>
      <c r="B228" s="55"/>
      <c r="C228" s="55"/>
      <c r="D228" s="55"/>
      <c r="E228" s="55"/>
      <c r="F228" s="55"/>
      <c r="G228" s="55"/>
      <c r="H228" s="55"/>
      <c r="I228" s="55"/>
      <c r="J228" s="55"/>
      <c r="K228" s="55"/>
    </row>
    <row r="229" spans="1:27" ht="114" x14ac:dyDescent="0.2">
      <c r="A229" s="22" t="str">
        <f>Source!E121</f>
        <v>24</v>
      </c>
      <c r="B229" s="23" t="str">
        <f>Source!F121</f>
        <v>1.23-7-217</v>
      </c>
      <c r="C229" s="23" t="s">
        <v>204</v>
      </c>
      <c r="D229" s="24" t="str">
        <f>Source!H121</f>
        <v>км</v>
      </c>
      <c r="E229" s="10">
        <f>Source!I121</f>
        <v>1.6E-2</v>
      </c>
      <c r="F229" s="26">
        <f>Source!AL121</f>
        <v>99361.96</v>
      </c>
      <c r="G229" s="25" t="str">
        <f>Source!DD121</f>
        <v/>
      </c>
      <c r="H229" s="10">
        <f>Source!AW121</f>
        <v>1</v>
      </c>
      <c r="I229" s="27">
        <f>ROUND((ROUND((Source!AC121*Source!AW121*Source!I121),2)),2)</f>
        <v>1589.79</v>
      </c>
      <c r="J229" s="10">
        <f>IF(Source!BC121&lt;&gt; 0, Source!BC121, 1)</f>
        <v>3.43</v>
      </c>
      <c r="K229" s="27">
        <f>Source!P121</f>
        <v>5452.98</v>
      </c>
      <c r="Q229">
        <f>ROUND((Source!DN121/100)*ROUND((ROUND((Source!AF121*Source!AV121*Source!I121),2)),2), 2)</f>
        <v>0</v>
      </c>
      <c r="R229">
        <f>Source!X121</f>
        <v>0</v>
      </c>
      <c r="S229">
        <f>ROUND((Source!DO121/100)*ROUND((ROUND((Source!AF121*Source!AV121*Source!I121),2)),2), 2)</f>
        <v>0</v>
      </c>
      <c r="T229">
        <f>Source!Y121</f>
        <v>0</v>
      </c>
      <c r="U229">
        <f>ROUND((175/100)*ROUND((ROUND((Source!AE121*Source!AV121*Source!I121),2)),2), 2)</f>
        <v>0</v>
      </c>
      <c r="V229">
        <f>ROUND((157/100)*ROUND(ROUND((ROUND((Source!AE121*Source!AV121*Source!I121),2)*Source!BS121),2), 2), 2)</f>
        <v>0</v>
      </c>
    </row>
    <row r="230" spans="1:27" x14ac:dyDescent="0.2">
      <c r="C230" s="31" t="str">
        <f>"Объем: "&amp;Source!I121&amp;"="&amp;Source!I32&amp;"/"&amp;"10"</f>
        <v>Объем: 0,016=0,16/10</v>
      </c>
    </row>
    <row r="231" spans="1:27" ht="15" x14ac:dyDescent="0.25">
      <c r="A231" s="30"/>
      <c r="B231" s="30"/>
      <c r="C231" s="30"/>
      <c r="D231" s="30"/>
      <c r="E231" s="30"/>
      <c r="F231" s="30"/>
      <c r="G231" s="30"/>
      <c r="H231" s="54">
        <f>I229</f>
        <v>1589.79</v>
      </c>
      <c r="I231" s="54"/>
      <c r="J231" s="54">
        <f>K229</f>
        <v>5452.98</v>
      </c>
      <c r="K231" s="54"/>
      <c r="O231" s="29">
        <f>I229</f>
        <v>1589.79</v>
      </c>
      <c r="P231" s="29">
        <f>K229</f>
        <v>5452.98</v>
      </c>
      <c r="X231">
        <f>IF(Source!BI121&lt;=1,I229-0, 0)</f>
        <v>0</v>
      </c>
      <c r="Y231">
        <f>IF(Source!BI121=2,I229-0, 0)</f>
        <v>1589.79</v>
      </c>
      <c r="Z231">
        <f>IF(Source!BI121=3,I229-0, 0)</f>
        <v>0</v>
      </c>
      <c r="AA231">
        <f>IF(Source!BI121=4,I229,0)</f>
        <v>0</v>
      </c>
    </row>
    <row r="232" spans="1:27" ht="99.75" x14ac:dyDescent="0.2">
      <c r="A232" s="22" t="str">
        <f>Source!E122</f>
        <v>25</v>
      </c>
      <c r="B232" s="23" t="str">
        <f>Source!F122</f>
        <v>1.21-5-281</v>
      </c>
      <c r="C232" s="23" t="s">
        <v>208</v>
      </c>
      <c r="D232" s="24" t="str">
        <f>Source!H122</f>
        <v>компл.</v>
      </c>
      <c r="E232" s="10">
        <f>Source!I122</f>
        <v>17</v>
      </c>
      <c r="F232" s="26">
        <f>Source!AL122</f>
        <v>306.16000000000003</v>
      </c>
      <c r="G232" s="25" t="str">
        <f>Source!DD122</f>
        <v/>
      </c>
      <c r="H232" s="10">
        <f>Source!AW122</f>
        <v>1</v>
      </c>
      <c r="I232" s="27">
        <f>ROUND((ROUND((Source!AC122*Source!AW122*Source!I122),2)),2)</f>
        <v>5204.72</v>
      </c>
      <c r="J232" s="10">
        <f>IF(Source!BC122&lt;&gt; 0, Source!BC122, 1)</f>
        <v>3.02</v>
      </c>
      <c r="K232" s="27">
        <f>Source!P122</f>
        <v>15718.25</v>
      </c>
      <c r="Q232">
        <f>ROUND((Source!DN122/100)*ROUND((ROUND((Source!AF122*Source!AV122*Source!I122),2)),2), 2)</f>
        <v>0</v>
      </c>
      <c r="R232">
        <f>Source!X122</f>
        <v>0</v>
      </c>
      <c r="S232">
        <f>ROUND((Source!DO122/100)*ROUND((ROUND((Source!AF122*Source!AV122*Source!I122),2)),2), 2)</f>
        <v>0</v>
      </c>
      <c r="T232">
        <f>Source!Y122</f>
        <v>0</v>
      </c>
      <c r="U232">
        <f>ROUND((175/100)*ROUND((ROUND((Source!AE122*Source!AV122*Source!I122),2)),2), 2)</f>
        <v>0</v>
      </c>
      <c r="V232">
        <f>ROUND((157/100)*ROUND(ROUND((ROUND((Source!AE122*Source!AV122*Source!I122),2)*Source!BS122),2), 2), 2)</f>
        <v>0</v>
      </c>
    </row>
    <row r="233" spans="1:27" ht="15" x14ac:dyDescent="0.25">
      <c r="A233" s="30"/>
      <c r="B233" s="30"/>
      <c r="C233" s="30"/>
      <c r="D233" s="30"/>
      <c r="E233" s="30"/>
      <c r="F233" s="30"/>
      <c r="G233" s="30"/>
      <c r="H233" s="54">
        <f>I232</f>
        <v>5204.72</v>
      </c>
      <c r="I233" s="54"/>
      <c r="J233" s="54">
        <f>K232</f>
        <v>15718.25</v>
      </c>
      <c r="K233" s="54"/>
      <c r="O233" s="29">
        <f>I232</f>
        <v>5204.72</v>
      </c>
      <c r="P233" s="29">
        <f>K232</f>
        <v>15718.25</v>
      </c>
      <c r="X233">
        <f>IF(Source!BI122&lt;=1,I232-0, 0)</f>
        <v>0</v>
      </c>
      <c r="Y233">
        <f>IF(Source!BI122=2,I232-0, 0)</f>
        <v>5204.72</v>
      </c>
      <c r="Z233">
        <f>IF(Source!BI122=3,I232-0, 0)</f>
        <v>0</v>
      </c>
      <c r="AA233">
        <f>IF(Source!BI122=4,I232,0)</f>
        <v>0</v>
      </c>
    </row>
    <row r="234" spans="1:27" ht="85.5" x14ac:dyDescent="0.2">
      <c r="A234" s="22" t="str">
        <f>Source!E123</f>
        <v>26</v>
      </c>
      <c r="B234" s="23" t="str">
        <f>Source!F123</f>
        <v>1.21-5-251</v>
      </c>
      <c r="C234" s="23" t="s">
        <v>213</v>
      </c>
      <c r="D234" s="24" t="str">
        <f>Source!H123</f>
        <v>компл.</v>
      </c>
      <c r="E234" s="10">
        <f>Source!I123</f>
        <v>3</v>
      </c>
      <c r="F234" s="26">
        <f>Source!AL123</f>
        <v>813.96</v>
      </c>
      <c r="G234" s="25" t="str">
        <f>Source!DD123</f>
        <v/>
      </c>
      <c r="H234" s="10">
        <f>Source!AW123</f>
        <v>1</v>
      </c>
      <c r="I234" s="27">
        <f>ROUND((ROUND((Source!AC123*Source!AW123*Source!I123),2)),2)</f>
        <v>2441.88</v>
      </c>
      <c r="J234" s="10">
        <f>IF(Source!BC123&lt;&gt; 0, Source!BC123, 1)</f>
        <v>2.95</v>
      </c>
      <c r="K234" s="27">
        <f>Source!P123</f>
        <v>7203.55</v>
      </c>
      <c r="Q234">
        <f>ROUND((Source!DN123/100)*ROUND((ROUND((Source!AF123*Source!AV123*Source!I123),2)),2), 2)</f>
        <v>0</v>
      </c>
      <c r="R234">
        <f>Source!X123</f>
        <v>0</v>
      </c>
      <c r="S234">
        <f>ROUND((Source!DO123/100)*ROUND((ROUND((Source!AF123*Source!AV123*Source!I123),2)),2), 2)</f>
        <v>0</v>
      </c>
      <c r="T234">
        <f>Source!Y123</f>
        <v>0</v>
      </c>
      <c r="U234">
        <f>ROUND((175/100)*ROUND((ROUND((Source!AE123*Source!AV123*Source!I123),2)),2), 2)</f>
        <v>0</v>
      </c>
      <c r="V234">
        <f>ROUND((157/100)*ROUND(ROUND((ROUND((Source!AE123*Source!AV123*Source!I123),2)*Source!BS123),2), 2), 2)</f>
        <v>0</v>
      </c>
    </row>
    <row r="235" spans="1:27" ht="15" x14ac:dyDescent="0.25">
      <c r="A235" s="30"/>
      <c r="B235" s="30"/>
      <c r="C235" s="30"/>
      <c r="D235" s="30"/>
      <c r="E235" s="30"/>
      <c r="F235" s="30"/>
      <c r="G235" s="30"/>
      <c r="H235" s="54">
        <f>I234</f>
        <v>2441.88</v>
      </c>
      <c r="I235" s="54"/>
      <c r="J235" s="54">
        <f>K234</f>
        <v>7203.55</v>
      </c>
      <c r="K235" s="54"/>
      <c r="O235" s="29">
        <f>I234</f>
        <v>2441.88</v>
      </c>
      <c r="P235" s="29">
        <f>K234</f>
        <v>7203.55</v>
      </c>
      <c r="X235">
        <f>IF(Source!BI123&lt;=1,I234-0, 0)</f>
        <v>0</v>
      </c>
      <c r="Y235">
        <f>IF(Source!BI123=2,I234-0, 0)</f>
        <v>2441.88</v>
      </c>
      <c r="Z235">
        <f>IF(Source!BI123=3,I234-0, 0)</f>
        <v>0</v>
      </c>
      <c r="AA235">
        <f>IF(Source!BI123=4,I234,0)</f>
        <v>0</v>
      </c>
    </row>
    <row r="236" spans="1:27" ht="114" x14ac:dyDescent="0.2">
      <c r="A236" s="22" t="str">
        <f>Source!E124</f>
        <v>27</v>
      </c>
      <c r="B236" s="23" t="str">
        <f>Source!F124</f>
        <v>1.23-7-219</v>
      </c>
      <c r="C236" s="23" t="s">
        <v>217</v>
      </c>
      <c r="D236" s="24" t="str">
        <f>Source!H124</f>
        <v>км</v>
      </c>
      <c r="E236" s="10">
        <f>Source!I124</f>
        <v>3.2000000000000001E-2</v>
      </c>
      <c r="F236" s="26">
        <f>Source!AL124</f>
        <v>140415.53</v>
      </c>
      <c r="G236" s="25" t="str">
        <f>Source!DD124</f>
        <v/>
      </c>
      <c r="H236" s="10">
        <f>Source!AW124</f>
        <v>1</v>
      </c>
      <c r="I236" s="27">
        <f>ROUND((ROUND((Source!AC124*Source!AW124*Source!I124),2)),2)</f>
        <v>4493.3</v>
      </c>
      <c r="J236" s="10">
        <f>IF(Source!BC124&lt;&gt; 0, Source!BC124, 1)</f>
        <v>4.5199999999999996</v>
      </c>
      <c r="K236" s="27">
        <f>Source!P124</f>
        <v>20309.72</v>
      </c>
      <c r="Q236">
        <f>ROUND((Source!DN124/100)*ROUND((ROUND((Source!AF124*Source!AV124*Source!I124),2)),2), 2)</f>
        <v>0</v>
      </c>
      <c r="R236">
        <f>Source!X124</f>
        <v>0</v>
      </c>
      <c r="S236">
        <f>ROUND((Source!DO124/100)*ROUND((ROUND((Source!AF124*Source!AV124*Source!I124),2)),2), 2)</f>
        <v>0</v>
      </c>
      <c r="T236">
        <f>Source!Y124</f>
        <v>0</v>
      </c>
      <c r="U236">
        <f>ROUND((175/100)*ROUND((ROUND((Source!AE124*Source!AV124*Source!I124),2)),2), 2)</f>
        <v>0</v>
      </c>
      <c r="V236">
        <f>ROUND((157/100)*ROUND(ROUND((ROUND((Source!AE124*Source!AV124*Source!I124),2)*Source!BS124),2), 2), 2)</f>
        <v>0</v>
      </c>
    </row>
    <row r="237" spans="1:27" x14ac:dyDescent="0.2">
      <c r="C237" s="31" t="str">
        <f>"Объем: "&amp;Source!I124&amp;"="&amp;Source!I34&amp;"/"&amp;"10"</f>
        <v>Объем: 0,032=0,32/10</v>
      </c>
    </row>
    <row r="238" spans="1:27" ht="15" x14ac:dyDescent="0.25">
      <c r="A238" s="30"/>
      <c r="B238" s="30"/>
      <c r="C238" s="30"/>
      <c r="D238" s="30"/>
      <c r="E238" s="30"/>
      <c r="F238" s="30"/>
      <c r="G238" s="30"/>
      <c r="H238" s="54">
        <f>I236</f>
        <v>4493.3</v>
      </c>
      <c r="I238" s="54"/>
      <c r="J238" s="54">
        <f>K236</f>
        <v>20309.72</v>
      </c>
      <c r="K238" s="54"/>
      <c r="O238" s="29">
        <f>I236</f>
        <v>4493.3</v>
      </c>
      <c r="P238" s="29">
        <f>K236</f>
        <v>20309.72</v>
      </c>
      <c r="X238">
        <f>IF(Source!BI124&lt;=1,I236-0, 0)</f>
        <v>0</v>
      </c>
      <c r="Y238">
        <f>IF(Source!BI124=2,I236-0, 0)</f>
        <v>4493.3</v>
      </c>
      <c r="Z238">
        <f>IF(Source!BI124=3,I236-0, 0)</f>
        <v>0</v>
      </c>
      <c r="AA238">
        <f>IF(Source!BI124=4,I236,0)</f>
        <v>0</v>
      </c>
    </row>
    <row r="239" spans="1:27" ht="28.5" x14ac:dyDescent="0.2">
      <c r="A239" s="22" t="str">
        <f>Source!E125</f>
        <v>28</v>
      </c>
      <c r="B239" s="23" t="str">
        <f>Source!F125</f>
        <v>1.23-16-1</v>
      </c>
      <c r="C239" s="23" t="s">
        <v>221</v>
      </c>
      <c r="D239" s="24" t="str">
        <f>Source!H125</f>
        <v>т</v>
      </c>
      <c r="E239" s="10">
        <f>Source!I125</f>
        <v>0.03</v>
      </c>
      <c r="F239" s="26">
        <f>Source!AL125</f>
        <v>31290.95</v>
      </c>
      <c r="G239" s="25" t="str">
        <f>Source!DD125</f>
        <v/>
      </c>
      <c r="H239" s="10">
        <f>Source!AW125</f>
        <v>1</v>
      </c>
      <c r="I239" s="27">
        <f>ROUND((ROUND((Source!AC125*Source!AW125*Source!I125),2)),2)</f>
        <v>938.73</v>
      </c>
      <c r="J239" s="10">
        <f>IF(Source!BC125&lt;&gt; 0, Source!BC125, 1)</f>
        <v>6.31</v>
      </c>
      <c r="K239" s="27">
        <f>Source!P125</f>
        <v>5923.39</v>
      </c>
      <c r="Q239">
        <f>ROUND((Source!DN125/100)*ROUND((ROUND((Source!AF125*Source!AV125*Source!I125),2)),2), 2)</f>
        <v>0</v>
      </c>
      <c r="R239">
        <f>Source!X125</f>
        <v>0</v>
      </c>
      <c r="S239">
        <f>ROUND((Source!DO125/100)*ROUND((ROUND((Source!AF125*Source!AV125*Source!I125),2)),2), 2)</f>
        <v>0</v>
      </c>
      <c r="T239">
        <f>Source!Y125</f>
        <v>0</v>
      </c>
      <c r="U239">
        <f>ROUND((175/100)*ROUND((ROUND((Source!AE125*Source!AV125*Source!I125),2)),2), 2)</f>
        <v>0</v>
      </c>
      <c r="V239">
        <f>ROUND((157/100)*ROUND(ROUND((ROUND((Source!AE125*Source!AV125*Source!I125),2)*Source!BS125),2), 2), 2)</f>
        <v>0</v>
      </c>
    </row>
    <row r="240" spans="1:27" ht="15" x14ac:dyDescent="0.25">
      <c r="A240" s="30"/>
      <c r="B240" s="30"/>
      <c r="C240" s="30"/>
      <c r="D240" s="30"/>
      <c r="E240" s="30"/>
      <c r="F240" s="30"/>
      <c r="G240" s="30"/>
      <c r="H240" s="54">
        <f>I239</f>
        <v>938.73</v>
      </c>
      <c r="I240" s="54"/>
      <c r="J240" s="54">
        <f>K239</f>
        <v>5923.39</v>
      </c>
      <c r="K240" s="54"/>
      <c r="O240" s="29">
        <f>I239</f>
        <v>938.73</v>
      </c>
      <c r="P240" s="29">
        <f>K239</f>
        <v>5923.39</v>
      </c>
      <c r="X240">
        <f>IF(Source!BI125&lt;=1,I239-0, 0)</f>
        <v>0</v>
      </c>
      <c r="Y240">
        <f>IF(Source!BI125=2,I239-0, 0)</f>
        <v>938.73</v>
      </c>
      <c r="Z240">
        <f>IF(Source!BI125=3,I239-0, 0)</f>
        <v>0</v>
      </c>
      <c r="AA240">
        <f>IF(Source!BI125=4,I239,0)</f>
        <v>0</v>
      </c>
    </row>
    <row r="241" spans="1:38" ht="56.25" x14ac:dyDescent="0.2">
      <c r="A241" s="22" t="str">
        <f>Source!E126</f>
        <v>29</v>
      </c>
      <c r="B241" s="145" t="str">
        <f>Source!F126</f>
        <v>Накладные №12 от 18.07.2019,  №10 от 10.08.2018.</v>
      </c>
      <c r="C241" s="23" t="s">
        <v>224</v>
      </c>
      <c r="D241" s="24" t="str">
        <f>Source!H126</f>
        <v>КОМПЛЕКТ</v>
      </c>
      <c r="E241" s="10">
        <f>Source!I126</f>
        <v>1</v>
      </c>
      <c r="F241" s="26">
        <f>Source!AL126</f>
        <v>1563409.86</v>
      </c>
      <c r="G241" s="25" t="str">
        <f>Source!DD126</f>
        <v/>
      </c>
      <c r="H241" s="10">
        <f>Source!AW126</f>
        <v>1</v>
      </c>
      <c r="I241" s="27">
        <f>ROUND((ROUND((Source!AC126*Source!AW126*Source!I126),2)),2)</f>
        <v>1563409.86</v>
      </c>
      <c r="J241" s="10">
        <f>IF(Source!BC126&lt;&gt; 0, Source!BC126, 1)</f>
        <v>1</v>
      </c>
      <c r="K241" s="27">
        <f>Source!P126</f>
        <v>1563409.86</v>
      </c>
      <c r="Q241">
        <f>ROUND((Source!DN126/100)*ROUND((ROUND((Source!AF126*Source!AV126*Source!I126),2)),2), 2)</f>
        <v>0</v>
      </c>
      <c r="R241">
        <f>Source!X126</f>
        <v>0</v>
      </c>
      <c r="S241">
        <f>ROUND((Source!DO126/100)*ROUND((ROUND((Source!AF126*Source!AV126*Source!I126),2)),2), 2)</f>
        <v>0</v>
      </c>
      <c r="T241">
        <f>Source!Y126</f>
        <v>0</v>
      </c>
      <c r="U241">
        <f>ROUND((175/100)*ROUND((ROUND((Source!AE126*Source!AV126*Source!I126),2)),2), 2)</f>
        <v>0</v>
      </c>
      <c r="V241">
        <f>ROUND((157/100)*ROUND(ROUND((ROUND((Source!AE126*Source!AV126*Source!I126),2)*Source!BS126),2), 2), 2)</f>
        <v>0</v>
      </c>
    </row>
    <row r="242" spans="1:38" ht="15" x14ac:dyDescent="0.25">
      <c r="A242" s="30"/>
      <c r="B242" s="30"/>
      <c r="C242" s="30"/>
      <c r="D242" s="30"/>
      <c r="E242" s="30"/>
      <c r="F242" s="30"/>
      <c r="G242" s="30"/>
      <c r="H242" s="54">
        <f>I241</f>
        <v>1563409.86</v>
      </c>
      <c r="I242" s="54"/>
      <c r="J242" s="54">
        <f>K241</f>
        <v>1563409.86</v>
      </c>
      <c r="K242" s="54"/>
      <c r="O242" s="29">
        <f>I241</f>
        <v>1563409.86</v>
      </c>
      <c r="P242" s="29">
        <f>K241</f>
        <v>1563409.86</v>
      </c>
      <c r="X242">
        <f>IF(Source!BI126&lt;=1,I241-0, 0)</f>
        <v>0</v>
      </c>
      <c r="Y242">
        <f>IF(Source!BI126=2,I241-0, 0)</f>
        <v>0</v>
      </c>
      <c r="Z242">
        <f>IF(Source!BI126=3,I241-0, 0)</f>
        <v>0</v>
      </c>
      <c r="AA242">
        <f>IF(Source!BI126=4,I241,0)</f>
        <v>1563409.86</v>
      </c>
    </row>
    <row r="244" spans="1:38" ht="15" x14ac:dyDescent="0.25">
      <c r="A244" s="53" t="str">
        <f>CONCATENATE("Итого по разделу: ",IF(Source!G128&lt;&gt;"Новый раздел", Source!G128, ""))</f>
        <v>Итого по разделу: Материалы, не учтенные ценником и оборудование.</v>
      </c>
      <c r="B244" s="53"/>
      <c r="C244" s="53"/>
      <c r="D244" s="53"/>
      <c r="E244" s="53"/>
      <c r="F244" s="53"/>
      <c r="G244" s="53"/>
      <c r="H244" s="51">
        <f>SUM(O228:O243)</f>
        <v>1578078.28</v>
      </c>
      <c r="I244" s="52"/>
      <c r="J244" s="51">
        <f>SUM(P228:P243)</f>
        <v>1618017.75</v>
      </c>
      <c r="K244" s="52"/>
      <c r="AL244" s="33" t="str">
        <f>CONCATENATE("Итого по разделу: ",IF(Source!G128&lt;&gt;"Новый раздел", Source!G128, ""))</f>
        <v>Итого по разделу: Материалы, не учтенные ценником и оборудование.</v>
      </c>
    </row>
    <row r="245" spans="1:38" hidden="1" x14ac:dyDescent="0.2">
      <c r="A245" t="s">
        <v>280</v>
      </c>
      <c r="H245">
        <f>SUM(AC228:AC244)</f>
        <v>0</v>
      </c>
      <c r="J245">
        <f>SUM(AD228:AD244)</f>
        <v>0</v>
      </c>
    </row>
    <row r="246" spans="1:38" hidden="1" x14ac:dyDescent="0.2">
      <c r="A246" t="s">
        <v>281</v>
      </c>
      <c r="H246">
        <f>SUM(AE228:AE245)</f>
        <v>0</v>
      </c>
      <c r="J246">
        <f>SUM(AF228:AF245)</f>
        <v>0</v>
      </c>
    </row>
    <row r="248" spans="1:38" ht="15" x14ac:dyDescent="0.25">
      <c r="A248" s="53" t="str">
        <f>CONCATENATE("Итого по локальной смете: ",IF(Source!G158&lt;&gt;"Новая локальная смета", Source!G158, ""))</f>
        <v>Итого по локальной смете: ТП-521. Реконструкция. Замена 8 панелей в РУ-0,4 кВ.</v>
      </c>
      <c r="B248" s="53"/>
      <c r="C248" s="53"/>
      <c r="D248" s="53"/>
      <c r="E248" s="53"/>
      <c r="F248" s="53"/>
      <c r="G248" s="53"/>
      <c r="H248" s="51">
        <f>SUM(O33:O247)</f>
        <v>1607579.31</v>
      </c>
      <c r="I248" s="52"/>
      <c r="J248" s="51">
        <f>SUM(P33:P247)</f>
        <v>2125531.38</v>
      </c>
      <c r="K248" s="52"/>
      <c r="AL248" s="33" t="str">
        <f>CONCATENATE("Итого по локальной смете: ",IF(Source!G158&lt;&gt;"Новая локальная смета", Source!G158, ""))</f>
        <v>Итого по локальной смете: ТП-521. Реконструкция. Замена 8 панелей в РУ-0,4 кВ.</v>
      </c>
    </row>
    <row r="249" spans="1:38" hidden="1" x14ac:dyDescent="0.2">
      <c r="A249" t="s">
        <v>280</v>
      </c>
      <c r="H249">
        <f>SUM(AC33:AC248)</f>
        <v>0</v>
      </c>
      <c r="J249">
        <f>SUM(AD33:AD248)</f>
        <v>0</v>
      </c>
    </row>
    <row r="250" spans="1:38" hidden="1" x14ac:dyDescent="0.2">
      <c r="A250" t="s">
        <v>281</v>
      </c>
      <c r="H250">
        <f>SUM(AE33:AE249)</f>
        <v>0</v>
      </c>
      <c r="J250">
        <f>SUM(AF33:AF249)</f>
        <v>0</v>
      </c>
    </row>
    <row r="252" spans="1:38" ht="15" x14ac:dyDescent="0.25">
      <c r="A252" s="53" t="str">
        <f>CONCATENATE("Итого по смете: ",IF(Source!G188&lt;&gt;"Новый объект", Source!G188, ""))</f>
        <v xml:space="preserve">Итого по смете: ТП-521. Замена оборудования- РУ-0,4 кВ </v>
      </c>
      <c r="B252" s="53"/>
      <c r="C252" s="53"/>
      <c r="D252" s="53"/>
      <c r="E252" s="53"/>
      <c r="F252" s="53"/>
      <c r="G252" s="53"/>
      <c r="H252" s="51">
        <f>SUM(O1:O251)</f>
        <v>1607579.31</v>
      </c>
      <c r="I252" s="52"/>
      <c r="J252" s="51">
        <f>SUM(P1:P251)</f>
        <v>2125531.38</v>
      </c>
      <c r="K252" s="52"/>
      <c r="AL252" s="33" t="str">
        <f>CONCATENATE("Итого по смете: ",IF(Source!G188&lt;&gt;"Новый объект", Source!G188, ""))</f>
        <v xml:space="preserve">Итого по смете: ТП-521. Замена оборудования- РУ-0,4 кВ </v>
      </c>
    </row>
    <row r="253" spans="1:38" hidden="1" x14ac:dyDescent="0.2">
      <c r="A253" t="s">
        <v>280</v>
      </c>
      <c r="H253">
        <f>SUM(AC1:AC252)</f>
        <v>0</v>
      </c>
      <c r="J253">
        <f>SUM(AD1:AD252)</f>
        <v>0</v>
      </c>
    </row>
    <row r="254" spans="1:38" hidden="1" x14ac:dyDescent="0.2">
      <c r="A254" t="s">
        <v>281</v>
      </c>
      <c r="H254">
        <f>SUM(AE1:AE253)</f>
        <v>0</v>
      </c>
      <c r="J254">
        <f>SUM(AF1:AF253)</f>
        <v>0</v>
      </c>
    </row>
    <row r="255" spans="1:38" ht="14.25" x14ac:dyDescent="0.2">
      <c r="C255" s="47" t="str">
        <f>Source!H217</f>
        <v>Итого</v>
      </c>
      <c r="D255" s="47"/>
      <c r="E255" s="47"/>
      <c r="F255" s="47"/>
      <c r="G255" s="47"/>
      <c r="H255" s="47"/>
      <c r="I255" s="47"/>
      <c r="J255" s="48">
        <f>IF(Source!F217=0, "", Source!F217)</f>
        <v>2125531.38</v>
      </c>
      <c r="K255" s="48"/>
    </row>
    <row r="256" spans="1:38" ht="14.25" x14ac:dyDescent="0.2">
      <c r="C256" s="47" t="str">
        <f>Source!H218</f>
        <v>НДС 20%</v>
      </c>
      <c r="D256" s="47"/>
      <c r="E256" s="47"/>
      <c r="F256" s="47"/>
      <c r="G256" s="47"/>
      <c r="H256" s="47"/>
      <c r="I256" s="47"/>
      <c r="J256" s="48">
        <f>IF(Source!F218=0, "", Source!F218)</f>
        <v>425106.28</v>
      </c>
      <c r="K256" s="48"/>
    </row>
    <row r="257" spans="1:11" ht="27.75" customHeight="1" x14ac:dyDescent="0.25">
      <c r="C257" s="47" t="str">
        <f>Source!H219</f>
        <v>Итого с НДС</v>
      </c>
      <c r="D257" s="47"/>
      <c r="E257" s="47"/>
      <c r="F257" s="47"/>
      <c r="G257" s="47"/>
      <c r="H257" s="47"/>
      <c r="I257" s="47"/>
      <c r="J257" s="51">
        <f>IF(Source!F219=0, "", Source!F219)</f>
        <v>2550637.66</v>
      </c>
      <c r="K257" s="51"/>
    </row>
    <row r="260" spans="1:11" ht="14.25" x14ac:dyDescent="0.2">
      <c r="A260" s="49" t="s">
        <v>283</v>
      </c>
      <c r="B260" s="49"/>
      <c r="C260" s="34" t="str">
        <f>IF(Source!AC12&lt;&gt;"", Source!AC12," ")</f>
        <v>Зам.начальника ПТО</v>
      </c>
      <c r="D260" s="34"/>
      <c r="E260" s="34"/>
      <c r="F260" s="34"/>
      <c r="G260" s="34"/>
      <c r="H260" s="50" t="str">
        <f>IF(Source!AB12&lt;&gt;"", Source!AB12," ")</f>
        <v>Алиева И.Е.</v>
      </c>
      <c r="I260" s="50"/>
      <c r="J260" s="50"/>
      <c r="K260" s="50"/>
    </row>
    <row r="261" spans="1:11" ht="14.25" x14ac:dyDescent="0.2">
      <c r="A261" s="11"/>
      <c r="B261" s="11"/>
      <c r="C261" s="46" t="s">
        <v>284</v>
      </c>
      <c r="D261" s="46"/>
      <c r="E261" s="46"/>
      <c r="F261" s="46"/>
      <c r="G261" s="46"/>
      <c r="H261" s="11"/>
      <c r="I261" s="11"/>
      <c r="J261" s="11"/>
      <c r="K261" s="11"/>
    </row>
    <row r="262" spans="1:11" ht="14.2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1:11" ht="14.25" x14ac:dyDescent="0.2">
      <c r="A263" s="49" t="s">
        <v>285</v>
      </c>
      <c r="B263" s="49"/>
      <c r="C263" s="34" t="str">
        <f>IF(Source!AE12&lt;&gt;"", Source!AE12," ")</f>
        <v>Главный инженер</v>
      </c>
      <c r="D263" s="34"/>
      <c r="E263" s="34"/>
      <c r="F263" s="34"/>
      <c r="G263" s="34"/>
      <c r="H263" s="50" t="str">
        <f>IF(Source!AD12&lt;&gt;"", Source!AD12," ")</f>
        <v>Алексеев Е.В.</v>
      </c>
      <c r="I263" s="50"/>
      <c r="J263" s="50"/>
      <c r="K263" s="50"/>
    </row>
    <row r="264" spans="1:11" ht="14.25" x14ac:dyDescent="0.2">
      <c r="A264" s="11"/>
      <c r="B264" s="11"/>
      <c r="C264" s="46" t="s">
        <v>284</v>
      </c>
      <c r="D264" s="46"/>
      <c r="E264" s="46"/>
      <c r="F264" s="46"/>
      <c r="G264" s="46"/>
      <c r="H264" s="11"/>
      <c r="I264" s="11"/>
      <c r="J264" s="11"/>
      <c r="K264" s="11"/>
    </row>
  </sheetData>
  <mergeCells count="111">
    <mergeCell ref="B7:E7"/>
    <mergeCell ref="G7:K7"/>
    <mergeCell ref="J2:K2"/>
    <mergeCell ref="A11:K11"/>
    <mergeCell ref="B3:E3"/>
    <mergeCell ref="G3:K3"/>
    <mergeCell ref="B4:E4"/>
    <mergeCell ref="G4:K4"/>
    <mergeCell ref="B6:E6"/>
    <mergeCell ref="G6:K6"/>
    <mergeCell ref="F22:H22"/>
    <mergeCell ref="F23:H23"/>
    <mergeCell ref="F24:H24"/>
    <mergeCell ref="F25:H25"/>
    <mergeCell ref="F26:H26"/>
    <mergeCell ref="F27:H27"/>
    <mergeCell ref="A12:K12"/>
    <mergeCell ref="A14:K14"/>
    <mergeCell ref="A16:K16"/>
    <mergeCell ref="A17:K17"/>
    <mergeCell ref="A19:K19"/>
    <mergeCell ref="F21:H21"/>
    <mergeCell ref="J55:K55"/>
    <mergeCell ref="H55:I55"/>
    <mergeCell ref="J64:K64"/>
    <mergeCell ref="H64:I64"/>
    <mergeCell ref="J75:K75"/>
    <mergeCell ref="H75:I75"/>
    <mergeCell ref="F28:H28"/>
    <mergeCell ref="A29:K29"/>
    <mergeCell ref="A33:K33"/>
    <mergeCell ref="A35:K35"/>
    <mergeCell ref="J45:K45"/>
    <mergeCell ref="H45:I45"/>
    <mergeCell ref="J117:K117"/>
    <mergeCell ref="H117:I117"/>
    <mergeCell ref="J128:K128"/>
    <mergeCell ref="H128:I128"/>
    <mergeCell ref="J136:K136"/>
    <mergeCell ref="H136:I136"/>
    <mergeCell ref="J86:K86"/>
    <mergeCell ref="H86:I86"/>
    <mergeCell ref="J96:K96"/>
    <mergeCell ref="H96:I96"/>
    <mergeCell ref="J107:K107"/>
    <mergeCell ref="H107:I107"/>
    <mergeCell ref="A158:G158"/>
    <mergeCell ref="A162:K162"/>
    <mergeCell ref="J168:K168"/>
    <mergeCell ref="H168:I168"/>
    <mergeCell ref="J174:K174"/>
    <mergeCell ref="H174:I174"/>
    <mergeCell ref="J146:K146"/>
    <mergeCell ref="H146:I146"/>
    <mergeCell ref="J156:K156"/>
    <mergeCell ref="H156:I156"/>
    <mergeCell ref="J158:K158"/>
    <mergeCell ref="H158:I158"/>
    <mergeCell ref="J198:K198"/>
    <mergeCell ref="H198:I198"/>
    <mergeCell ref="J204:K204"/>
    <mergeCell ref="H204:I204"/>
    <mergeCell ref="J210:K210"/>
    <mergeCell ref="H210:I210"/>
    <mergeCell ref="J180:K180"/>
    <mergeCell ref="H180:I180"/>
    <mergeCell ref="J186:K186"/>
    <mergeCell ref="H186:I186"/>
    <mergeCell ref="J192:K192"/>
    <mergeCell ref="H192:I192"/>
    <mergeCell ref="A224:G224"/>
    <mergeCell ref="A228:K228"/>
    <mergeCell ref="J231:K231"/>
    <mergeCell ref="H231:I231"/>
    <mergeCell ref="J233:K233"/>
    <mergeCell ref="H233:I233"/>
    <mergeCell ref="J216:K216"/>
    <mergeCell ref="H216:I216"/>
    <mergeCell ref="J222:K222"/>
    <mergeCell ref="H222:I222"/>
    <mergeCell ref="J224:K224"/>
    <mergeCell ref="H224:I224"/>
    <mergeCell ref="J242:K242"/>
    <mergeCell ref="H242:I242"/>
    <mergeCell ref="J244:K244"/>
    <mergeCell ref="H244:I244"/>
    <mergeCell ref="A244:G244"/>
    <mergeCell ref="J248:K248"/>
    <mergeCell ref="H248:I248"/>
    <mergeCell ref="A248:G248"/>
    <mergeCell ref="J235:K235"/>
    <mergeCell ref="H235:I235"/>
    <mergeCell ref="J238:K238"/>
    <mergeCell ref="H238:I238"/>
    <mergeCell ref="J240:K240"/>
    <mergeCell ref="H240:I240"/>
    <mergeCell ref="C264:G264"/>
    <mergeCell ref="C257:I257"/>
    <mergeCell ref="J257:K257"/>
    <mergeCell ref="A260:B260"/>
    <mergeCell ref="H260:K260"/>
    <mergeCell ref="C261:G261"/>
    <mergeCell ref="A263:B263"/>
    <mergeCell ref="H263:K263"/>
    <mergeCell ref="J252:K252"/>
    <mergeCell ref="H252:I252"/>
    <mergeCell ref="A252:G252"/>
    <mergeCell ref="C255:I255"/>
    <mergeCell ref="J255:K255"/>
    <mergeCell ref="C256:I256"/>
    <mergeCell ref="J256:K256"/>
  </mergeCells>
  <pageMargins left="0.4" right="0.2" top="0.2" bottom="0.4" header="0.2" footer="0.2"/>
  <pageSetup paperSize="9" scale="69" fitToHeight="0" orientation="portrait" horizontalDpi="0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71"/>
  <sheetViews>
    <sheetView zoomScaleNormal="100" workbookViewId="0"/>
  </sheetViews>
  <sheetFormatPr defaultRowHeight="12.75" x14ac:dyDescent="0.2"/>
  <cols>
    <col min="1" max="2" width="5.7109375" customWidth="1"/>
    <col min="3" max="3" width="11.7109375" customWidth="1"/>
    <col min="4" max="4" width="40.7109375" customWidth="1"/>
    <col min="5" max="5" width="11.7109375" customWidth="1"/>
    <col min="6" max="6" width="8.140625" bestFit="1" customWidth="1"/>
    <col min="7" max="7" width="13.140625" bestFit="1" customWidth="1"/>
    <col min="8" max="8" width="8.7109375" bestFit="1" customWidth="1"/>
    <col min="9" max="9" width="10" bestFit="1" customWidth="1"/>
    <col min="10" max="10" width="13.140625" bestFit="1" customWidth="1"/>
    <col min="11" max="11" width="9.140625" bestFit="1" customWidth="1"/>
    <col min="12" max="12" width="13.140625" bestFit="1" customWidth="1"/>
    <col min="14" max="35" width="0" hidden="1" customWidth="1"/>
    <col min="36" max="36" width="91" hidden="1" customWidth="1"/>
    <col min="37" max="37" width="134.7109375" hidden="1" customWidth="1"/>
    <col min="38" max="38" width="101" hidden="1" customWidth="1"/>
    <col min="39" max="42" width="0" hidden="1" customWidth="1"/>
  </cols>
  <sheetData>
    <row r="1" spans="1:36" x14ac:dyDescent="0.2">
      <c r="A1" s="9" t="str">
        <f>Source!B1</f>
        <v>Smeta.RU  (495) 974-1589</v>
      </c>
    </row>
    <row r="2" spans="1:36" ht="15" x14ac:dyDescent="0.25">
      <c r="A2" s="11"/>
      <c r="B2" s="11"/>
      <c r="C2" s="32"/>
      <c r="D2" s="32"/>
      <c r="E2" s="32"/>
      <c r="F2" s="11"/>
      <c r="G2" s="11"/>
      <c r="H2" s="11"/>
      <c r="I2" s="87" t="s">
        <v>286</v>
      </c>
      <c r="J2" s="87"/>
      <c r="K2" s="87"/>
      <c r="L2" s="87"/>
    </row>
    <row r="3" spans="1:36" ht="14.25" x14ac:dyDescent="0.2">
      <c r="A3" s="11"/>
      <c r="B3" s="11"/>
      <c r="C3" s="11"/>
      <c r="D3" s="11"/>
      <c r="E3" s="11"/>
      <c r="F3" s="11"/>
      <c r="G3" s="11"/>
      <c r="H3" s="11"/>
      <c r="I3" s="87" t="s">
        <v>287</v>
      </c>
      <c r="J3" s="87"/>
      <c r="K3" s="87"/>
      <c r="L3" s="87"/>
    </row>
    <row r="4" spans="1:36" ht="14.25" x14ac:dyDescent="0.2">
      <c r="A4" s="11"/>
      <c r="B4" s="11"/>
      <c r="C4" s="11"/>
      <c r="D4" s="11"/>
      <c r="E4" s="11"/>
      <c r="F4" s="11"/>
      <c r="G4" s="11"/>
      <c r="H4" s="11"/>
      <c r="I4" s="87" t="s">
        <v>288</v>
      </c>
      <c r="J4" s="87"/>
      <c r="K4" s="87"/>
      <c r="L4" s="87"/>
    </row>
    <row r="5" spans="1:36" ht="14.2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6" ht="14.25" x14ac:dyDescent="0.2">
      <c r="A6" s="11"/>
      <c r="B6" s="11"/>
      <c r="C6" s="11"/>
      <c r="D6" s="11"/>
      <c r="E6" s="11"/>
      <c r="F6" s="11"/>
      <c r="G6" s="11"/>
      <c r="H6" s="11"/>
      <c r="I6" s="11"/>
      <c r="J6" s="76" t="s">
        <v>289</v>
      </c>
      <c r="K6" s="76"/>
      <c r="L6" s="76"/>
    </row>
    <row r="7" spans="1:36" ht="14.25" x14ac:dyDescent="0.2">
      <c r="A7" s="11"/>
      <c r="B7" s="11"/>
      <c r="C7" s="11"/>
      <c r="D7" s="11"/>
      <c r="E7" s="11"/>
      <c r="F7" s="11"/>
      <c r="G7" s="11"/>
      <c r="H7" s="65" t="s">
        <v>290</v>
      </c>
      <c r="I7" s="75"/>
      <c r="J7" s="88" t="s">
        <v>291</v>
      </c>
      <c r="K7" s="88"/>
      <c r="L7" s="88"/>
    </row>
    <row r="8" spans="1:36" ht="14.25" x14ac:dyDescent="0.2">
      <c r="A8" s="11"/>
      <c r="B8" s="11"/>
      <c r="C8" s="11"/>
      <c r="D8" s="11"/>
      <c r="E8" s="11"/>
      <c r="F8" s="11"/>
      <c r="G8" s="11"/>
      <c r="H8" s="11"/>
      <c r="I8" s="11"/>
      <c r="J8" s="76" t="str">
        <f>IF(Source!AT15 &lt;&gt; "", Source!AT15, "")</f>
        <v/>
      </c>
      <c r="K8" s="76"/>
      <c r="L8" s="76"/>
    </row>
    <row r="9" spans="1:36" ht="14.25" x14ac:dyDescent="0.2">
      <c r="A9" s="11" t="s">
        <v>292</v>
      </c>
      <c r="B9" s="11"/>
      <c r="C9" s="58" t="str">
        <f>IF(Source!BA15 &lt;&gt; "", Source!BA15, IF(Source!AU15 &lt;&gt; "", Source!AU15, ""))</f>
        <v/>
      </c>
      <c r="D9" s="58"/>
      <c r="E9" s="58"/>
      <c r="F9" s="58"/>
      <c r="G9" s="58"/>
      <c r="H9" s="58"/>
      <c r="I9" s="10" t="s">
        <v>293</v>
      </c>
      <c r="J9" s="76"/>
      <c r="K9" s="76"/>
      <c r="L9" s="76"/>
    </row>
    <row r="10" spans="1:36" ht="14.25" x14ac:dyDescent="0.2">
      <c r="A10" s="11"/>
      <c r="B10" s="11"/>
      <c r="C10" s="46" t="s">
        <v>294</v>
      </c>
      <c r="D10" s="46"/>
      <c r="E10" s="46"/>
      <c r="F10" s="46"/>
      <c r="G10" s="46"/>
      <c r="H10" s="46"/>
      <c r="I10" s="11"/>
      <c r="J10" s="76" t="str">
        <f>IF(Source!AK15 &lt;&gt; "", Source!AK15, "")</f>
        <v/>
      </c>
      <c r="K10" s="76"/>
      <c r="L10" s="76"/>
    </row>
    <row r="11" spans="1:36" ht="14.25" x14ac:dyDescent="0.2">
      <c r="A11" s="11" t="s">
        <v>295</v>
      </c>
      <c r="B11" s="11"/>
      <c r="C11" s="58" t="str">
        <f>IF(Source!AX12&lt;&gt; "", Source!AX12, IF(Source!AJ12 &lt;&gt; "", Source!AJ12, ""))</f>
        <v>МУП "Троицкая электросеть", г. Москва, г. Троицк, ул. Лесная, д. 6.</v>
      </c>
      <c r="D11" s="58"/>
      <c r="E11" s="58"/>
      <c r="F11" s="58"/>
      <c r="G11" s="58"/>
      <c r="H11" s="58"/>
      <c r="I11" s="10" t="s">
        <v>293</v>
      </c>
      <c r="J11" s="76"/>
      <c r="K11" s="76"/>
      <c r="L11" s="76"/>
      <c r="AJ11" s="21" t="str">
        <f>IF(Source!AX12&lt;&gt; "", Source!AX12, IF(Source!AJ12 &lt;&gt; "", Source!AJ12, ""))</f>
        <v>МУП "Троицкая электросеть", г. Москва, г. Троицк, ул. Лесная, д. 6.</v>
      </c>
    </row>
    <row r="12" spans="1:36" ht="14.25" x14ac:dyDescent="0.2">
      <c r="A12" s="11"/>
      <c r="B12" s="11"/>
      <c r="C12" s="46" t="s">
        <v>294</v>
      </c>
      <c r="D12" s="46"/>
      <c r="E12" s="46"/>
      <c r="F12" s="46"/>
      <c r="G12" s="46"/>
      <c r="H12" s="46"/>
      <c r="I12" s="11"/>
      <c r="J12" s="76" t="str">
        <f>IF(Source!AO15 &lt;&gt; "", Source!AO15, "")</f>
        <v/>
      </c>
      <c r="K12" s="76"/>
      <c r="L12" s="76"/>
    </row>
    <row r="13" spans="1:36" ht="14.25" x14ac:dyDescent="0.2">
      <c r="A13" s="11" t="s">
        <v>296</v>
      </c>
      <c r="B13" s="11"/>
      <c r="C13" s="58" t="str">
        <f>IF(Source!AY12&lt;&gt; "", Source!AY12, IF(Source!AN12 &lt;&gt; "", Source!AN12, ""))</f>
        <v/>
      </c>
      <c r="D13" s="58"/>
      <c r="E13" s="58"/>
      <c r="F13" s="58"/>
      <c r="G13" s="58"/>
      <c r="H13" s="58"/>
      <c r="I13" s="10" t="s">
        <v>293</v>
      </c>
      <c r="J13" s="76"/>
      <c r="K13" s="76"/>
      <c r="L13" s="76"/>
    </row>
    <row r="14" spans="1:36" ht="14.25" x14ac:dyDescent="0.2">
      <c r="A14" s="11"/>
      <c r="B14" s="11"/>
      <c r="C14" s="46" t="s">
        <v>294</v>
      </c>
      <c r="D14" s="46"/>
      <c r="E14" s="46"/>
      <c r="F14" s="46"/>
      <c r="G14" s="46"/>
      <c r="H14" s="46"/>
      <c r="I14" s="11"/>
      <c r="J14" s="76" t="str">
        <f>IF(Source!CO15 &lt;&gt; "", Source!CO15, "")</f>
        <v/>
      </c>
      <c r="K14" s="76"/>
      <c r="L14" s="76"/>
    </row>
    <row r="15" spans="1:36" ht="14.25" x14ac:dyDescent="0.2">
      <c r="A15" s="11" t="s">
        <v>297</v>
      </c>
      <c r="B15" s="11"/>
      <c r="C15" s="58" t="s">
        <v>4</v>
      </c>
      <c r="D15" s="58"/>
      <c r="E15" s="58"/>
      <c r="F15" s="58"/>
      <c r="G15" s="58"/>
      <c r="H15" s="58"/>
      <c r="I15" s="11"/>
      <c r="J15" s="76"/>
      <c r="K15" s="76"/>
      <c r="L15" s="76"/>
    </row>
    <row r="16" spans="1:36" ht="14.25" x14ac:dyDescent="0.2">
      <c r="A16" s="11"/>
      <c r="B16" s="11"/>
      <c r="C16" s="46" t="s">
        <v>298</v>
      </c>
      <c r="D16" s="46"/>
      <c r="E16" s="46"/>
      <c r="F16" s="46"/>
      <c r="G16" s="46"/>
      <c r="H16" s="46"/>
      <c r="I16" s="11"/>
      <c r="J16" s="76" t="str">
        <f>IF(Source!CP15 &lt;&gt; "", Source!CP15, "")</f>
        <v/>
      </c>
      <c r="K16" s="76"/>
      <c r="L16" s="76"/>
    </row>
    <row r="17" spans="1:12" ht="14.25" x14ac:dyDescent="0.2">
      <c r="A17" s="11" t="s">
        <v>299</v>
      </c>
      <c r="B17" s="11"/>
      <c r="C17" s="64" t="str">
        <f>IF(Source!G12&lt;&gt;"Новый объект", Source!G12, "")</f>
        <v xml:space="preserve">ТП-521. Замена оборудования- РУ-0,4 кВ </v>
      </c>
      <c r="D17" s="64"/>
      <c r="E17" s="64"/>
      <c r="F17" s="64"/>
      <c r="G17" s="64"/>
      <c r="H17" s="64"/>
      <c r="I17" s="11"/>
      <c r="J17" s="76"/>
      <c r="K17" s="76"/>
      <c r="L17" s="76"/>
    </row>
    <row r="18" spans="1:12" ht="14.25" x14ac:dyDescent="0.2">
      <c r="A18" s="11"/>
      <c r="B18" s="11"/>
      <c r="C18" s="46" t="s">
        <v>300</v>
      </c>
      <c r="D18" s="46"/>
      <c r="E18" s="46"/>
      <c r="F18" s="46"/>
      <c r="G18" s="46"/>
      <c r="H18" s="46"/>
      <c r="I18" s="11"/>
      <c r="J18" s="11"/>
      <c r="K18" s="11"/>
      <c r="L18" s="11"/>
    </row>
    <row r="19" spans="1:12" ht="14.25" x14ac:dyDescent="0.2">
      <c r="A19" s="11"/>
      <c r="B19" s="11"/>
      <c r="C19" s="11"/>
      <c r="D19" s="11"/>
      <c r="E19" s="11"/>
      <c r="F19" s="11"/>
      <c r="G19" s="65" t="s">
        <v>301</v>
      </c>
      <c r="H19" s="65"/>
      <c r="I19" s="85"/>
      <c r="J19" s="76" t="str">
        <f>IF(Source!CQ15 &lt;&gt; "", Source!CQ15, "")</f>
        <v/>
      </c>
      <c r="K19" s="76"/>
      <c r="L19" s="76"/>
    </row>
    <row r="20" spans="1:12" ht="14.25" x14ac:dyDescent="0.2">
      <c r="A20" s="11"/>
      <c r="B20" s="11"/>
      <c r="C20" s="11"/>
      <c r="D20" s="11"/>
      <c r="E20" s="11"/>
      <c r="F20" s="11"/>
      <c r="G20" s="65" t="s">
        <v>302</v>
      </c>
      <c r="H20" s="75"/>
      <c r="I20" s="35" t="s">
        <v>303</v>
      </c>
      <c r="J20" s="76" t="str">
        <f>IF(Source!CR15 &lt;&gt; "", Source!CR15, "")</f>
        <v/>
      </c>
      <c r="K20" s="76"/>
      <c r="L20" s="76"/>
    </row>
    <row r="21" spans="1:12" ht="14.25" x14ac:dyDescent="0.2">
      <c r="A21" s="11"/>
      <c r="B21" s="11"/>
      <c r="C21" s="11"/>
      <c r="D21" s="11"/>
      <c r="E21" s="11"/>
      <c r="F21" s="11"/>
      <c r="G21" s="11"/>
      <c r="H21" s="11"/>
      <c r="I21" s="36" t="s">
        <v>304</v>
      </c>
      <c r="J21" s="86" t="str">
        <f>IF(Source!CS15 &lt;&gt; 0, Source!CS15, "")</f>
        <v/>
      </c>
      <c r="K21" s="86"/>
      <c r="L21" s="86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65" t="s">
        <v>305</v>
      </c>
      <c r="I22" s="75"/>
      <c r="J22" s="76" t="str">
        <f>IF(Source!CT15 &lt;&gt; "", Source!CT15, "")</f>
        <v/>
      </c>
      <c r="K22" s="76"/>
      <c r="L22" s="76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4.25" x14ac:dyDescent="0.2">
      <c r="A24" s="11"/>
      <c r="B24" s="11"/>
      <c r="C24" s="11"/>
      <c r="D24" s="11"/>
      <c r="E24" s="11"/>
      <c r="F24" s="11"/>
      <c r="G24" s="77" t="s">
        <v>306</v>
      </c>
      <c r="H24" s="80" t="s">
        <v>307</v>
      </c>
      <c r="I24" s="80" t="s">
        <v>308</v>
      </c>
      <c r="J24" s="82"/>
      <c r="K24" s="11"/>
      <c r="L24" s="11"/>
    </row>
    <row r="25" spans="1:12" ht="14.25" x14ac:dyDescent="0.2">
      <c r="A25" s="11"/>
      <c r="B25" s="11"/>
      <c r="C25" s="11"/>
      <c r="D25" s="11"/>
      <c r="E25" s="11"/>
      <c r="F25" s="11"/>
      <c r="G25" s="78"/>
      <c r="H25" s="81"/>
      <c r="I25" s="83"/>
      <c r="J25" s="84"/>
      <c r="K25" s="11"/>
      <c r="L25" s="11"/>
    </row>
    <row r="26" spans="1:12" ht="14.25" x14ac:dyDescent="0.2">
      <c r="A26" s="11"/>
      <c r="B26" s="11"/>
      <c r="C26" s="11"/>
      <c r="D26" s="11"/>
      <c r="E26" s="11"/>
      <c r="F26" s="11"/>
      <c r="G26" s="79"/>
      <c r="H26" s="81"/>
      <c r="I26" s="37" t="s">
        <v>309</v>
      </c>
      <c r="J26" s="38" t="s">
        <v>310</v>
      </c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39"/>
      <c r="H27" s="40" t="str">
        <f>IF(Source!CX15 &lt;&gt; 0, Source!CX15, "")</f>
        <v/>
      </c>
      <c r="I27" s="40" t="str">
        <f>IF(Source!CV15 &lt;&gt; 0, Source!CV15, "")</f>
        <v/>
      </c>
      <c r="J27" s="40" t="str">
        <f>IF(Source!CW15 &lt;&gt; 0, Source!CW15, "")</f>
        <v/>
      </c>
      <c r="K27" s="11"/>
      <c r="L27" s="11"/>
    </row>
    <row r="28" spans="1:12" ht="14.2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8" x14ac:dyDescent="0.25">
      <c r="A29" s="73" t="s">
        <v>311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8" x14ac:dyDescent="0.25">
      <c r="A30" s="73" t="s">
        <v>312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14.2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" x14ac:dyDescent="0.25">
      <c r="A32" s="11" t="s">
        <v>313</v>
      </c>
      <c r="B32" s="11"/>
      <c r="C32" s="11"/>
      <c r="D32" s="11"/>
      <c r="E32" s="11"/>
      <c r="F32" s="11"/>
      <c r="G32" s="11"/>
      <c r="H32" s="74">
        <f>(Source!F186/1000)</f>
        <v>2125.5313799999999</v>
      </c>
      <c r="I32" s="74"/>
      <c r="J32" s="11" t="s">
        <v>314</v>
      </c>
      <c r="K32" s="11"/>
      <c r="L32" s="11"/>
    </row>
    <row r="33" spans="1:37" ht="14.25" x14ac:dyDescent="0.2">
      <c r="A33" s="58" t="s">
        <v>269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AK33" s="21" t="s">
        <v>269</v>
      </c>
    </row>
    <row r="34" spans="1:37" ht="14.25" x14ac:dyDescent="0.2">
      <c r="A34" s="72" t="s">
        <v>315</v>
      </c>
      <c r="B34" s="72"/>
      <c r="C34" s="72" t="s">
        <v>259</v>
      </c>
      <c r="D34" s="72" t="s">
        <v>260</v>
      </c>
      <c r="E34" s="72" t="s">
        <v>261</v>
      </c>
      <c r="F34" s="72" t="s">
        <v>262</v>
      </c>
      <c r="G34" s="72" t="s">
        <v>263</v>
      </c>
      <c r="H34" s="69" t="s">
        <v>264</v>
      </c>
      <c r="I34" s="69" t="s">
        <v>265</v>
      </c>
      <c r="J34" s="72" t="s">
        <v>266</v>
      </c>
      <c r="K34" s="72" t="s">
        <v>267</v>
      </c>
      <c r="L34" s="72" t="s">
        <v>268</v>
      </c>
    </row>
    <row r="35" spans="1:37" x14ac:dyDescent="0.2">
      <c r="A35" s="69" t="s">
        <v>316</v>
      </c>
      <c r="B35" s="69" t="s">
        <v>317</v>
      </c>
      <c r="C35" s="72"/>
      <c r="D35" s="72"/>
      <c r="E35" s="72"/>
      <c r="F35" s="72"/>
      <c r="G35" s="72"/>
      <c r="H35" s="70"/>
      <c r="I35" s="70"/>
      <c r="J35" s="72"/>
      <c r="K35" s="72"/>
      <c r="L35" s="72"/>
    </row>
    <row r="36" spans="1:37" x14ac:dyDescent="0.2">
      <c r="A36" s="70"/>
      <c r="B36" s="70"/>
      <c r="C36" s="72"/>
      <c r="D36" s="72"/>
      <c r="E36" s="72"/>
      <c r="F36" s="72"/>
      <c r="G36" s="72"/>
      <c r="H36" s="70"/>
      <c r="I36" s="70"/>
      <c r="J36" s="72"/>
      <c r="K36" s="72"/>
      <c r="L36" s="72"/>
    </row>
    <row r="37" spans="1:37" x14ac:dyDescent="0.2">
      <c r="A37" s="70"/>
      <c r="B37" s="70"/>
      <c r="C37" s="72"/>
      <c r="D37" s="72"/>
      <c r="E37" s="72"/>
      <c r="F37" s="72"/>
      <c r="G37" s="72"/>
      <c r="H37" s="70"/>
      <c r="I37" s="70"/>
      <c r="J37" s="72"/>
      <c r="K37" s="72"/>
      <c r="L37" s="72"/>
    </row>
    <row r="38" spans="1:37" x14ac:dyDescent="0.2">
      <c r="A38" s="70"/>
      <c r="B38" s="70"/>
      <c r="C38" s="72"/>
      <c r="D38" s="72"/>
      <c r="E38" s="72"/>
      <c r="F38" s="72"/>
      <c r="G38" s="72"/>
      <c r="H38" s="70"/>
      <c r="I38" s="70"/>
      <c r="J38" s="72"/>
      <c r="K38" s="72"/>
      <c r="L38" s="72"/>
    </row>
    <row r="39" spans="1:37" x14ac:dyDescent="0.2">
      <c r="A39" s="71"/>
      <c r="B39" s="71"/>
      <c r="C39" s="72"/>
      <c r="D39" s="72"/>
      <c r="E39" s="72"/>
      <c r="F39" s="72"/>
      <c r="G39" s="72"/>
      <c r="H39" s="71"/>
      <c r="I39" s="71"/>
      <c r="J39" s="72"/>
      <c r="K39" s="72"/>
      <c r="L39" s="72"/>
    </row>
    <row r="40" spans="1:37" ht="14.25" x14ac:dyDescent="0.2">
      <c r="A40" s="19">
        <v>1</v>
      </c>
      <c r="B40" s="19">
        <v>2</v>
      </c>
      <c r="C40" s="19">
        <v>3</v>
      </c>
      <c r="D40" s="19">
        <v>4</v>
      </c>
      <c r="E40" s="19">
        <v>5</v>
      </c>
      <c r="F40" s="19">
        <v>6</v>
      </c>
      <c r="G40" s="19">
        <v>7</v>
      </c>
      <c r="H40" s="19">
        <v>8</v>
      </c>
      <c r="I40" s="19">
        <v>9</v>
      </c>
      <c r="J40" s="19">
        <v>10</v>
      </c>
      <c r="K40" s="19">
        <v>11</v>
      </c>
      <c r="L40" s="19">
        <v>12</v>
      </c>
    </row>
    <row r="42" spans="1:37" ht="16.5" x14ac:dyDescent="0.25">
      <c r="A42" s="55" t="str">
        <f>CONCATENATE("Раздел: ",IF(Source!G24&lt;&gt;"Новый раздел", Source!G24, ""))</f>
        <v>Раздел: Электромонтажные работы.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37" ht="42.75" x14ac:dyDescent="0.2">
      <c r="A43" s="22">
        <v>1</v>
      </c>
      <c r="B43" s="22" t="str">
        <f>Source!E28</f>
        <v>1</v>
      </c>
      <c r="C43" s="23" t="str">
        <f>Source!F28</f>
        <v>4.8-64-3</v>
      </c>
      <c r="D43" s="23" t="s">
        <v>25</v>
      </c>
      <c r="E43" s="24" t="str">
        <f>Source!H28</f>
        <v>т</v>
      </c>
      <c r="F43" s="10">
        <f>Source!I28</f>
        <v>0.312</v>
      </c>
      <c r="G43" s="26"/>
      <c r="H43" s="25"/>
      <c r="I43" s="10"/>
      <c r="J43" s="27"/>
      <c r="K43" s="10"/>
      <c r="L43" s="27"/>
      <c r="Q43">
        <f>ROUND((Source!DN28/100)*ROUND((ROUND((Source!AF28*Source!AV28*Source!I28),2)),2), 2)</f>
        <v>302.27999999999997</v>
      </c>
      <c r="R43">
        <f>Source!X28</f>
        <v>5067.58</v>
      </c>
      <c r="S43">
        <f>ROUND((Source!DO28/100)*ROUND((ROUND((Source!AF28*Source!AV28*Source!I28),2)),2), 2)</f>
        <v>177.66</v>
      </c>
      <c r="T43">
        <f>Source!Y28</f>
        <v>2698.32</v>
      </c>
      <c r="U43">
        <f>ROUND((175/100)*ROUND((ROUND((Source!AE28*Source!AV28*Source!I28),2)),2), 2)</f>
        <v>45.61</v>
      </c>
      <c r="V43">
        <f>ROUND((157/100)*ROUND(ROUND((ROUND((Source!AE28*Source!AV28*Source!I28),2)*Source!BS28),2), 2), 2)</f>
        <v>1015.49</v>
      </c>
    </row>
    <row r="44" spans="1:37" ht="14.25" x14ac:dyDescent="0.2">
      <c r="A44" s="22"/>
      <c r="B44" s="22"/>
      <c r="C44" s="23"/>
      <c r="D44" s="23" t="s">
        <v>270</v>
      </c>
      <c r="E44" s="24"/>
      <c r="F44" s="10"/>
      <c r="G44" s="26">
        <f>Source!AO28</f>
        <v>676.43</v>
      </c>
      <c r="H44" s="25" t="str">
        <f>Source!DG28</f>
        <v>)*1,2</v>
      </c>
      <c r="I44" s="10">
        <f>Source!AV28</f>
        <v>1.0469999999999999</v>
      </c>
      <c r="J44" s="27">
        <f>ROUND((ROUND((Source!AF28*Source!AV28*Source!I28),2)),2)</f>
        <v>265.16000000000003</v>
      </c>
      <c r="K44" s="10">
        <f>IF(Source!BA28&lt;&gt; 0, Source!BA28, 1)</f>
        <v>24.82</v>
      </c>
      <c r="L44" s="27">
        <f>Source!S28</f>
        <v>6581.27</v>
      </c>
      <c r="W44">
        <f>J44</f>
        <v>265.16000000000003</v>
      </c>
    </row>
    <row r="45" spans="1:37" ht="14.25" x14ac:dyDescent="0.2">
      <c r="A45" s="22"/>
      <c r="B45" s="22"/>
      <c r="C45" s="23"/>
      <c r="D45" s="23" t="s">
        <v>271</v>
      </c>
      <c r="E45" s="24"/>
      <c r="F45" s="10"/>
      <c r="G45" s="26">
        <f>Source!AM28</f>
        <v>702.69</v>
      </c>
      <c r="H45" s="25" t="str">
        <f>Source!DE28</f>
        <v>)*1,2</v>
      </c>
      <c r="I45" s="10">
        <f>Source!AV28</f>
        <v>1.0469999999999999</v>
      </c>
      <c r="J45" s="27">
        <f>(ROUND((ROUND((((Source!ET28*1.2))*Source!AV28*Source!I28),2)),2)+ROUND((ROUND(((Source!AE28-((Source!EU28*1.2)))*Source!AV28*Source!I28),2)),2))</f>
        <v>275.45</v>
      </c>
      <c r="K45" s="10">
        <f>IF(Source!BB28&lt;&gt; 0, Source!BB28, 1)</f>
        <v>8.2100000000000009</v>
      </c>
      <c r="L45" s="27">
        <f>Source!Q28</f>
        <v>2261.44</v>
      </c>
    </row>
    <row r="46" spans="1:37" ht="14.25" x14ac:dyDescent="0.2">
      <c r="A46" s="22"/>
      <c r="B46" s="22"/>
      <c r="C46" s="23"/>
      <c r="D46" s="23" t="s">
        <v>272</v>
      </c>
      <c r="E46" s="24"/>
      <c r="F46" s="10"/>
      <c r="G46" s="26">
        <f>Source!AN28</f>
        <v>66.48</v>
      </c>
      <c r="H46" s="25" t="str">
        <f>Source!DF28</f>
        <v>)*1,2</v>
      </c>
      <c r="I46" s="10">
        <f>Source!AV28</f>
        <v>1.0469999999999999</v>
      </c>
      <c r="J46" s="28">
        <f>ROUND((ROUND((Source!AE28*Source!AV28*Source!I28),2)),2)</f>
        <v>26.06</v>
      </c>
      <c r="K46" s="10">
        <f>IF(Source!BS28&lt;&gt; 0, Source!BS28, 1)</f>
        <v>24.82</v>
      </c>
      <c r="L46" s="28">
        <f>Source!R28</f>
        <v>646.80999999999995</v>
      </c>
      <c r="W46">
        <f>J46</f>
        <v>26.06</v>
      </c>
    </row>
    <row r="47" spans="1:37" ht="14.25" x14ac:dyDescent="0.2">
      <c r="A47" s="22"/>
      <c r="B47" s="22"/>
      <c r="C47" s="23"/>
      <c r="D47" s="23" t="s">
        <v>273</v>
      </c>
      <c r="E47" s="24"/>
      <c r="F47" s="10"/>
      <c r="G47" s="26">
        <f>Source!AL28</f>
        <v>5453</v>
      </c>
      <c r="H47" s="25" t="str">
        <f>Source!DD28</f>
        <v/>
      </c>
      <c r="I47" s="10">
        <f>Source!AW28</f>
        <v>1</v>
      </c>
      <c r="J47" s="27">
        <f>ROUND((ROUND((Source!AC28*Source!AW28*Source!I28),2)),2)</f>
        <v>1701.34</v>
      </c>
      <c r="K47" s="10">
        <f>IF(Source!BC28&lt;&gt; 0, Source!BC28, 1)</f>
        <v>5.29</v>
      </c>
      <c r="L47" s="27">
        <f>Source!P28</f>
        <v>9000.09</v>
      </c>
    </row>
    <row r="48" spans="1:37" ht="14.25" x14ac:dyDescent="0.2">
      <c r="A48" s="22"/>
      <c r="B48" s="22"/>
      <c r="C48" s="23"/>
      <c r="D48" s="23" t="s">
        <v>274</v>
      </c>
      <c r="E48" s="24" t="s">
        <v>275</v>
      </c>
      <c r="F48" s="10">
        <f>Source!DN28</f>
        <v>114</v>
      </c>
      <c r="G48" s="26"/>
      <c r="H48" s="25"/>
      <c r="I48" s="10"/>
      <c r="J48" s="27">
        <f>SUM(Q43:Q47)</f>
        <v>302.27999999999997</v>
      </c>
      <c r="K48" s="10">
        <f>Source!BZ28</f>
        <v>77</v>
      </c>
      <c r="L48" s="27">
        <f>SUM(R43:R47)</f>
        <v>5067.58</v>
      </c>
    </row>
    <row r="49" spans="1:27" ht="14.25" x14ac:dyDescent="0.2">
      <c r="A49" s="22"/>
      <c r="B49" s="22"/>
      <c r="C49" s="23"/>
      <c r="D49" s="23" t="s">
        <v>276</v>
      </c>
      <c r="E49" s="24" t="s">
        <v>275</v>
      </c>
      <c r="F49" s="10">
        <f>Source!DO28</f>
        <v>67</v>
      </c>
      <c r="G49" s="26"/>
      <c r="H49" s="25"/>
      <c r="I49" s="10"/>
      <c r="J49" s="27">
        <f>SUM(S43:S48)</f>
        <v>177.66</v>
      </c>
      <c r="K49" s="10">
        <f>Source!CA28</f>
        <v>41</v>
      </c>
      <c r="L49" s="27">
        <f>SUM(T43:T48)</f>
        <v>2698.32</v>
      </c>
    </row>
    <row r="50" spans="1:27" ht="14.25" x14ac:dyDescent="0.2">
      <c r="A50" s="22"/>
      <c r="B50" s="22"/>
      <c r="C50" s="23"/>
      <c r="D50" s="23" t="s">
        <v>277</v>
      </c>
      <c r="E50" s="24" t="s">
        <v>275</v>
      </c>
      <c r="F50" s="10">
        <f>175</f>
        <v>175</v>
      </c>
      <c r="G50" s="26"/>
      <c r="H50" s="25"/>
      <c r="I50" s="10"/>
      <c r="J50" s="27">
        <f>SUM(U43:U49)</f>
        <v>45.61</v>
      </c>
      <c r="K50" s="10">
        <f>157</f>
        <v>157</v>
      </c>
      <c r="L50" s="27">
        <f>SUM(V43:V49)</f>
        <v>1015.49</v>
      </c>
    </row>
    <row r="51" spans="1:27" ht="14.25" x14ac:dyDescent="0.2">
      <c r="A51" s="22"/>
      <c r="B51" s="22"/>
      <c r="C51" s="23"/>
      <c r="D51" s="23" t="s">
        <v>278</v>
      </c>
      <c r="E51" s="24" t="s">
        <v>279</v>
      </c>
      <c r="F51" s="10">
        <f>Source!AQ28</f>
        <v>53.6</v>
      </c>
      <c r="G51" s="26"/>
      <c r="H51" s="25" t="str">
        <f>Source!DI28</f>
        <v>)*1,2</v>
      </c>
      <c r="I51" s="10">
        <f>Source!AV28</f>
        <v>1.0469999999999999</v>
      </c>
      <c r="J51" s="27">
        <f>Source!U28</f>
        <v>21.011028479999997</v>
      </c>
      <c r="K51" s="10"/>
      <c r="L51" s="27"/>
    </row>
    <row r="52" spans="1:27" ht="15" x14ac:dyDescent="0.25">
      <c r="A52" s="30"/>
      <c r="B52" s="30"/>
      <c r="C52" s="30"/>
      <c r="D52" s="30"/>
      <c r="E52" s="30"/>
      <c r="F52" s="30"/>
      <c r="G52" s="30"/>
      <c r="H52" s="30"/>
      <c r="I52" s="54">
        <f>J44+J45+J47+J48+J49+J50</f>
        <v>2767.4999999999995</v>
      </c>
      <c r="J52" s="54"/>
      <c r="K52" s="54">
        <f>L44+L45+L47+L48+L49+L50</f>
        <v>26624.190000000006</v>
      </c>
      <c r="L52" s="54"/>
      <c r="O52" s="29">
        <f>J44+J45+J47+J48+J49+J50</f>
        <v>2767.4999999999995</v>
      </c>
      <c r="P52" s="29">
        <f>L44+L45+L47+L48+L49+L50</f>
        <v>26624.190000000006</v>
      </c>
      <c r="X52">
        <f>IF(Source!BI28&lt;=1,J44+J45+J47+J48+J49+J50-0, 0)</f>
        <v>0</v>
      </c>
      <c r="Y52">
        <f>IF(Source!BI28=2,J44+J45+J47+J48+J49+J50-0, 0)</f>
        <v>2767.4999999999995</v>
      </c>
      <c r="Z52">
        <f>IF(Source!BI28=3,J44+J45+J47+J48+J49+J50-0, 0)</f>
        <v>0</v>
      </c>
      <c r="AA52">
        <f>IF(Source!BI28=4,J44+J45+J47+J48+J49+J50,0)</f>
        <v>0</v>
      </c>
    </row>
    <row r="53" spans="1:27" ht="128.25" x14ac:dyDescent="0.2">
      <c r="A53" s="22">
        <v>2</v>
      </c>
      <c r="B53" s="22" t="str">
        <f>Source!E29</f>
        <v>2</v>
      </c>
      <c r="C53" s="23" t="str">
        <f>Source!F29</f>
        <v>4.8-239-7</v>
      </c>
      <c r="D53" s="23" t="s">
        <v>35</v>
      </c>
      <c r="E53" s="24" t="str">
        <f>Source!H29</f>
        <v>шт.</v>
      </c>
      <c r="F53" s="10">
        <f>Source!I29</f>
        <v>8</v>
      </c>
      <c r="G53" s="26"/>
      <c r="H53" s="25"/>
      <c r="I53" s="10"/>
      <c r="J53" s="27"/>
      <c r="K53" s="10"/>
      <c r="L53" s="27"/>
      <c r="Q53">
        <f>ROUND((Source!DN29/100)*ROUND((ROUND((Source!AF29*Source!AV29*Source!I29),2)),2), 2)</f>
        <v>613.71</v>
      </c>
      <c r="R53">
        <f>Source!X29</f>
        <v>10288.43</v>
      </c>
      <c r="S53">
        <f>ROUND((Source!DO29/100)*ROUND((ROUND((Source!AF29*Source!AV29*Source!I29),2)),2), 2)</f>
        <v>360.69</v>
      </c>
      <c r="T53">
        <f>Source!Y29</f>
        <v>5478.26</v>
      </c>
      <c r="U53">
        <f>ROUND((175/100)*ROUND((ROUND((Source!AE29*Source!AV29*Source!I29),2)),2), 2)</f>
        <v>170.45</v>
      </c>
      <c r="V53">
        <f>ROUND((157/100)*ROUND(ROUND((ROUND((Source!AE29*Source!AV29*Source!I29),2)*Source!BS29),2), 2), 2)</f>
        <v>3795.43</v>
      </c>
    </row>
    <row r="54" spans="1:27" ht="14.25" x14ac:dyDescent="0.2">
      <c r="A54" s="22"/>
      <c r="B54" s="22"/>
      <c r="C54" s="23"/>
      <c r="D54" s="23" t="s">
        <v>270</v>
      </c>
      <c r="E54" s="24"/>
      <c r="F54" s="10"/>
      <c r="G54" s="26">
        <f>Source!AO29</f>
        <v>53.56</v>
      </c>
      <c r="H54" s="25" t="str">
        <f>Source!DG29</f>
        <v>)*1,2</v>
      </c>
      <c r="I54" s="10">
        <f>Source!AV29</f>
        <v>1.0469999999999999</v>
      </c>
      <c r="J54" s="27">
        <f>ROUND((ROUND((Source!AF29*Source!AV29*Source!I29),2)),2)</f>
        <v>538.34</v>
      </c>
      <c r="K54" s="10">
        <f>IF(Source!BA29&lt;&gt; 0, Source!BA29, 1)</f>
        <v>24.82</v>
      </c>
      <c r="L54" s="27">
        <f>Source!S29</f>
        <v>13361.6</v>
      </c>
      <c r="W54">
        <f>J54</f>
        <v>538.34</v>
      </c>
    </row>
    <row r="55" spans="1:27" ht="14.25" x14ac:dyDescent="0.2">
      <c r="A55" s="22"/>
      <c r="B55" s="22"/>
      <c r="C55" s="23"/>
      <c r="D55" s="23" t="s">
        <v>271</v>
      </c>
      <c r="E55" s="24"/>
      <c r="F55" s="10"/>
      <c r="G55" s="26">
        <f>Source!AM29</f>
        <v>70.38</v>
      </c>
      <c r="H55" s="25" t="str">
        <f>Source!DE29</f>
        <v>)*1,2</v>
      </c>
      <c r="I55" s="10">
        <f>Source!AV29</f>
        <v>1.0469999999999999</v>
      </c>
      <c r="J55" s="27">
        <f>(ROUND((ROUND((((Source!ET29*1.2))*Source!AV29*Source!I29),2)),2)+ROUND((ROUND(((Source!AE29-((Source!EU29*1.2)))*Source!AV29*Source!I29),2)),2))</f>
        <v>707.4</v>
      </c>
      <c r="K55" s="10">
        <f>IF(Source!BB29&lt;&gt; 0, Source!BB29, 1)</f>
        <v>8.44</v>
      </c>
      <c r="L55" s="27">
        <f>Source!Q29</f>
        <v>5970.46</v>
      </c>
    </row>
    <row r="56" spans="1:27" ht="14.25" x14ac:dyDescent="0.2">
      <c r="A56" s="22"/>
      <c r="B56" s="22"/>
      <c r="C56" s="23"/>
      <c r="D56" s="23" t="s">
        <v>272</v>
      </c>
      <c r="E56" s="24"/>
      <c r="F56" s="10"/>
      <c r="G56" s="26">
        <f>Source!AN29</f>
        <v>9.69</v>
      </c>
      <c r="H56" s="25" t="str">
        <f>Source!DF29</f>
        <v>)*1,2</v>
      </c>
      <c r="I56" s="10">
        <f>Source!AV29</f>
        <v>1.0469999999999999</v>
      </c>
      <c r="J56" s="28">
        <f>ROUND((ROUND((Source!AE29*Source!AV29*Source!I29),2)),2)</f>
        <v>97.4</v>
      </c>
      <c r="K56" s="10">
        <f>IF(Source!BS29&lt;&gt; 0, Source!BS29, 1)</f>
        <v>24.82</v>
      </c>
      <c r="L56" s="28">
        <f>Source!R29</f>
        <v>2417.4699999999998</v>
      </c>
      <c r="W56">
        <f>J56</f>
        <v>97.4</v>
      </c>
    </row>
    <row r="57" spans="1:27" ht="14.25" x14ac:dyDescent="0.2">
      <c r="A57" s="22"/>
      <c r="B57" s="22"/>
      <c r="C57" s="23"/>
      <c r="D57" s="23" t="s">
        <v>273</v>
      </c>
      <c r="E57" s="24"/>
      <c r="F57" s="10"/>
      <c r="G57" s="26">
        <f>Source!AL29</f>
        <v>153.30000000000001</v>
      </c>
      <c r="H57" s="25" t="str">
        <f>Source!DD29</f>
        <v/>
      </c>
      <c r="I57" s="10">
        <f>Source!AW29</f>
        <v>1</v>
      </c>
      <c r="J57" s="27">
        <f>ROUND((ROUND((Source!AC29*Source!AW29*Source!I29),2)),2)</f>
        <v>1226.4000000000001</v>
      </c>
      <c r="K57" s="10">
        <f>IF(Source!BC29&lt;&gt; 0, Source!BC29, 1)</f>
        <v>5.29</v>
      </c>
      <c r="L57" s="27">
        <f>Source!P29</f>
        <v>6487.66</v>
      </c>
    </row>
    <row r="58" spans="1:27" ht="14.25" x14ac:dyDescent="0.2">
      <c r="A58" s="22"/>
      <c r="B58" s="22"/>
      <c r="C58" s="23"/>
      <c r="D58" s="23" t="s">
        <v>274</v>
      </c>
      <c r="E58" s="24" t="s">
        <v>275</v>
      </c>
      <c r="F58" s="10">
        <f>Source!DN29</f>
        <v>114</v>
      </c>
      <c r="G58" s="26"/>
      <c r="H58" s="25"/>
      <c r="I58" s="10"/>
      <c r="J58" s="27">
        <f>SUM(Q53:Q57)</f>
        <v>613.71</v>
      </c>
      <c r="K58" s="10">
        <f>Source!BZ29</f>
        <v>77</v>
      </c>
      <c r="L58" s="27">
        <f>SUM(R53:R57)</f>
        <v>10288.43</v>
      </c>
    </row>
    <row r="59" spans="1:27" ht="14.25" x14ac:dyDescent="0.2">
      <c r="A59" s="22"/>
      <c r="B59" s="22"/>
      <c r="C59" s="23"/>
      <c r="D59" s="23" t="s">
        <v>276</v>
      </c>
      <c r="E59" s="24" t="s">
        <v>275</v>
      </c>
      <c r="F59" s="10">
        <f>Source!DO29</f>
        <v>67</v>
      </c>
      <c r="G59" s="26"/>
      <c r="H59" s="25"/>
      <c r="I59" s="10"/>
      <c r="J59" s="27">
        <f>SUM(S53:S58)</f>
        <v>360.69</v>
      </c>
      <c r="K59" s="10">
        <f>Source!CA29</f>
        <v>41</v>
      </c>
      <c r="L59" s="27">
        <f>SUM(T53:T58)</f>
        <v>5478.26</v>
      </c>
    </row>
    <row r="60" spans="1:27" ht="14.25" x14ac:dyDescent="0.2">
      <c r="A60" s="22"/>
      <c r="B60" s="22"/>
      <c r="C60" s="23"/>
      <c r="D60" s="23" t="s">
        <v>277</v>
      </c>
      <c r="E60" s="24" t="s">
        <v>275</v>
      </c>
      <c r="F60" s="10">
        <f>175</f>
        <v>175</v>
      </c>
      <c r="G60" s="26"/>
      <c r="H60" s="25"/>
      <c r="I60" s="10"/>
      <c r="J60" s="27">
        <f>SUM(U53:U59)</f>
        <v>170.45</v>
      </c>
      <c r="K60" s="10">
        <f>157</f>
        <v>157</v>
      </c>
      <c r="L60" s="27">
        <f>SUM(V53:V59)</f>
        <v>3795.43</v>
      </c>
    </row>
    <row r="61" spans="1:27" ht="14.25" x14ac:dyDescent="0.2">
      <c r="A61" s="22"/>
      <c r="B61" s="22"/>
      <c r="C61" s="23"/>
      <c r="D61" s="23" t="s">
        <v>278</v>
      </c>
      <c r="E61" s="24" t="s">
        <v>279</v>
      </c>
      <c r="F61" s="10">
        <f>Source!AQ29</f>
        <v>4.12</v>
      </c>
      <c r="G61" s="26"/>
      <c r="H61" s="25" t="str">
        <f>Source!DI29</f>
        <v>)*1,2</v>
      </c>
      <c r="I61" s="10">
        <f>Source!AV29</f>
        <v>1.0469999999999999</v>
      </c>
      <c r="J61" s="27">
        <f>Source!U29</f>
        <v>41.410943999999994</v>
      </c>
      <c r="K61" s="10"/>
      <c r="L61" s="27"/>
    </row>
    <row r="62" spans="1:27" ht="15" x14ac:dyDescent="0.25">
      <c r="A62" s="30"/>
      <c r="B62" s="30"/>
      <c r="C62" s="30"/>
      <c r="D62" s="30"/>
      <c r="E62" s="30"/>
      <c r="F62" s="30"/>
      <c r="G62" s="30"/>
      <c r="H62" s="30"/>
      <c r="I62" s="54">
        <f>J54+J55+J57+J58+J59+J60</f>
        <v>3616.9900000000002</v>
      </c>
      <c r="J62" s="54"/>
      <c r="K62" s="54">
        <f>L54+L55+L57+L58+L59+L60</f>
        <v>45381.840000000004</v>
      </c>
      <c r="L62" s="54"/>
      <c r="O62" s="29">
        <f>J54+J55+J57+J58+J59+J60</f>
        <v>3616.9900000000002</v>
      </c>
      <c r="P62" s="29">
        <f>L54+L55+L57+L58+L59+L60</f>
        <v>45381.840000000004</v>
      </c>
      <c r="X62">
        <f>IF(Source!BI29&lt;=1,J54+J55+J57+J58+J59+J60-0, 0)</f>
        <v>0</v>
      </c>
      <c r="Y62">
        <f>IF(Source!BI29=2,J54+J55+J57+J58+J59+J60-0, 0)</f>
        <v>3616.9900000000002</v>
      </c>
      <c r="Z62">
        <f>IF(Source!BI29=3,J54+J55+J57+J58+J59+J60-0, 0)</f>
        <v>0</v>
      </c>
      <c r="AA62">
        <f>IF(Source!BI29=4,J54+J55+J57+J58+J59+J60,0)</f>
        <v>0</v>
      </c>
    </row>
    <row r="63" spans="1:27" ht="128.25" x14ac:dyDescent="0.2">
      <c r="A63" s="22">
        <v>3</v>
      </c>
      <c r="B63" s="22" t="str">
        <f>Source!E30</f>
        <v>3</v>
      </c>
      <c r="C63" s="23" t="str">
        <f>Source!F30</f>
        <v>4.8-239-7</v>
      </c>
      <c r="D63" s="23" t="s">
        <v>41</v>
      </c>
      <c r="E63" s="24" t="str">
        <f>Source!H30</f>
        <v>шт.</v>
      </c>
      <c r="F63" s="10">
        <f>Source!I30</f>
        <v>8</v>
      </c>
      <c r="G63" s="26"/>
      <c r="H63" s="25"/>
      <c r="I63" s="10"/>
      <c r="J63" s="27"/>
      <c r="K63" s="10"/>
      <c r="L63" s="27"/>
      <c r="Q63">
        <f>ROUND((Source!DN30/100)*ROUND((ROUND((Source!AF30*Source!AV30*Source!I30),2)),2), 2)</f>
        <v>306.85000000000002</v>
      </c>
      <c r="R63">
        <f>Source!X30</f>
        <v>5144.22</v>
      </c>
      <c r="S63">
        <f>ROUND((Source!DO30/100)*ROUND((ROUND((Source!AF30*Source!AV30*Source!I30),2)),2), 2)</f>
        <v>180.34</v>
      </c>
      <c r="T63">
        <f>Source!Y30</f>
        <v>2739.13</v>
      </c>
      <c r="U63">
        <f>ROUND((175/100)*ROUND((ROUND((Source!AE30*Source!AV30*Source!I30),2)),2), 2)</f>
        <v>85.23</v>
      </c>
      <c r="V63">
        <f>ROUND((157/100)*ROUND(ROUND((ROUND((Source!AE30*Source!AV30*Source!I30),2)*Source!BS30),2), 2), 2)</f>
        <v>1897.71</v>
      </c>
    </row>
    <row r="64" spans="1:27" ht="28.5" x14ac:dyDescent="0.2">
      <c r="A64" s="22"/>
      <c r="B64" s="22"/>
      <c r="C64" s="23"/>
      <c r="D64" s="23" t="s">
        <v>270</v>
      </c>
      <c r="E64" s="24"/>
      <c r="F64" s="10"/>
      <c r="G64" s="26">
        <f>Source!AO30</f>
        <v>53.56</v>
      </c>
      <c r="H64" s="25" t="str">
        <f>Source!DG30</f>
        <v>)*0,5)*1,2</v>
      </c>
      <c r="I64" s="10">
        <f>Source!AV30</f>
        <v>1.0469999999999999</v>
      </c>
      <c r="J64" s="27">
        <f>ROUND((ROUND((Source!AF30*Source!AV30*Source!I30),2)),2)</f>
        <v>269.17</v>
      </c>
      <c r="K64" s="10">
        <f>IF(Source!BA30&lt;&gt; 0, Source!BA30, 1)</f>
        <v>24.82</v>
      </c>
      <c r="L64" s="27">
        <f>Source!S30</f>
        <v>6680.8</v>
      </c>
      <c r="W64">
        <f>J64</f>
        <v>269.17</v>
      </c>
    </row>
    <row r="65" spans="1:27" ht="28.5" x14ac:dyDescent="0.2">
      <c r="A65" s="22"/>
      <c r="B65" s="22"/>
      <c r="C65" s="23"/>
      <c r="D65" s="23" t="s">
        <v>271</v>
      </c>
      <c r="E65" s="24"/>
      <c r="F65" s="10"/>
      <c r="G65" s="26">
        <f>Source!AM30</f>
        <v>70.38</v>
      </c>
      <c r="H65" s="25" t="str">
        <f>Source!DE30</f>
        <v>)*0,5)*1,2</v>
      </c>
      <c r="I65" s="10">
        <f>Source!AV30</f>
        <v>1.0469999999999999</v>
      </c>
      <c r="J65" s="27">
        <f>(ROUND((ROUND(((((Source!ET30*0.5)*1.2))*Source!AV30*Source!I30),2)),2)+ROUND((ROUND(((Source!AE30-(((Source!EU30*0.5)*1.2)))*Source!AV30*Source!I30),2)),2))</f>
        <v>353.7</v>
      </c>
      <c r="K65" s="10">
        <f>IF(Source!BB30&lt;&gt; 0, Source!BB30, 1)</f>
        <v>8.44</v>
      </c>
      <c r="L65" s="27">
        <f>Source!Q30</f>
        <v>2985.23</v>
      </c>
    </row>
    <row r="66" spans="1:27" ht="28.5" x14ac:dyDescent="0.2">
      <c r="A66" s="22"/>
      <c r="B66" s="22"/>
      <c r="C66" s="23"/>
      <c r="D66" s="23" t="s">
        <v>272</v>
      </c>
      <c r="E66" s="24"/>
      <c r="F66" s="10"/>
      <c r="G66" s="26">
        <f>Source!AN30</f>
        <v>9.69</v>
      </c>
      <c r="H66" s="25" t="str">
        <f>Source!DF30</f>
        <v>)*0,5)*1,2</v>
      </c>
      <c r="I66" s="10">
        <f>Source!AV30</f>
        <v>1.0469999999999999</v>
      </c>
      <c r="J66" s="28">
        <f>ROUND((ROUND((Source!AE30*Source!AV30*Source!I30),2)),2)</f>
        <v>48.7</v>
      </c>
      <c r="K66" s="10">
        <f>IF(Source!BS30&lt;&gt; 0, Source!BS30, 1)</f>
        <v>24.82</v>
      </c>
      <c r="L66" s="28">
        <f>Source!R30</f>
        <v>1208.73</v>
      </c>
      <c r="W66">
        <f>J66</f>
        <v>48.7</v>
      </c>
    </row>
    <row r="67" spans="1:27" ht="14.25" x14ac:dyDescent="0.2">
      <c r="A67" s="22"/>
      <c r="B67" s="22"/>
      <c r="C67" s="23"/>
      <c r="D67" s="23" t="s">
        <v>274</v>
      </c>
      <c r="E67" s="24" t="s">
        <v>275</v>
      </c>
      <c r="F67" s="10">
        <f>Source!DN30</f>
        <v>114</v>
      </c>
      <c r="G67" s="26"/>
      <c r="H67" s="25"/>
      <c r="I67" s="10"/>
      <c r="J67" s="27">
        <f>SUM(Q63:Q66)</f>
        <v>306.85000000000002</v>
      </c>
      <c r="K67" s="10">
        <f>Source!BZ30</f>
        <v>77</v>
      </c>
      <c r="L67" s="27">
        <f>SUM(R63:R66)</f>
        <v>5144.22</v>
      </c>
    </row>
    <row r="68" spans="1:27" ht="14.25" x14ac:dyDescent="0.2">
      <c r="A68" s="22"/>
      <c r="B68" s="22"/>
      <c r="C68" s="23"/>
      <c r="D68" s="23" t="s">
        <v>276</v>
      </c>
      <c r="E68" s="24" t="s">
        <v>275</v>
      </c>
      <c r="F68" s="10">
        <f>Source!DO30</f>
        <v>67</v>
      </c>
      <c r="G68" s="26"/>
      <c r="H68" s="25"/>
      <c r="I68" s="10"/>
      <c r="J68" s="27">
        <f>SUM(S63:S67)</f>
        <v>180.34</v>
      </c>
      <c r="K68" s="10">
        <f>Source!CA30</f>
        <v>41</v>
      </c>
      <c r="L68" s="27">
        <f>SUM(T63:T67)</f>
        <v>2739.13</v>
      </c>
    </row>
    <row r="69" spans="1:27" ht="14.25" x14ac:dyDescent="0.2">
      <c r="A69" s="22"/>
      <c r="B69" s="22"/>
      <c r="C69" s="23"/>
      <c r="D69" s="23" t="s">
        <v>277</v>
      </c>
      <c r="E69" s="24" t="s">
        <v>275</v>
      </c>
      <c r="F69" s="10">
        <f>175</f>
        <v>175</v>
      </c>
      <c r="G69" s="26"/>
      <c r="H69" s="25"/>
      <c r="I69" s="10"/>
      <c r="J69" s="27">
        <f>SUM(U63:U68)</f>
        <v>85.23</v>
      </c>
      <c r="K69" s="10">
        <f>157</f>
        <v>157</v>
      </c>
      <c r="L69" s="27">
        <f>SUM(V63:V68)</f>
        <v>1897.71</v>
      </c>
    </row>
    <row r="70" spans="1:27" ht="28.5" x14ac:dyDescent="0.2">
      <c r="A70" s="22"/>
      <c r="B70" s="22"/>
      <c r="C70" s="23"/>
      <c r="D70" s="23" t="s">
        <v>278</v>
      </c>
      <c r="E70" s="24" t="s">
        <v>279</v>
      </c>
      <c r="F70" s="10">
        <f>Source!AQ30</f>
        <v>4.12</v>
      </c>
      <c r="G70" s="26"/>
      <c r="H70" s="25" t="str">
        <f>Source!DI30</f>
        <v>)*0,5)*1,2</v>
      </c>
      <c r="I70" s="10">
        <f>Source!AV30</f>
        <v>1.0469999999999999</v>
      </c>
      <c r="J70" s="27">
        <f>Source!U30</f>
        <v>20.705471999999997</v>
      </c>
      <c r="K70" s="10"/>
      <c r="L70" s="27"/>
    </row>
    <row r="71" spans="1:27" ht="15" x14ac:dyDescent="0.25">
      <c r="A71" s="30"/>
      <c r="B71" s="30"/>
      <c r="C71" s="30"/>
      <c r="D71" s="30"/>
      <c r="E71" s="30"/>
      <c r="F71" s="30"/>
      <c r="G71" s="30"/>
      <c r="H71" s="30"/>
      <c r="I71" s="54">
        <f>J64+J65+J67+J68+J69</f>
        <v>1195.29</v>
      </c>
      <c r="J71" s="54"/>
      <c r="K71" s="54">
        <f>L64+L65+L67+L68+L69</f>
        <v>19447.09</v>
      </c>
      <c r="L71" s="54"/>
      <c r="O71" s="29">
        <f>J64+J65+J67+J68+J69</f>
        <v>1195.29</v>
      </c>
      <c r="P71" s="29">
        <f>L64+L65+L67+L68+L69</f>
        <v>19447.09</v>
      </c>
      <c r="X71">
        <f>IF(Source!BI30&lt;=1,J64+J65+J67+J68+J69-0, 0)</f>
        <v>0</v>
      </c>
      <c r="Y71">
        <f>IF(Source!BI30=2,J64+J65+J67+J68+J69-0, 0)</f>
        <v>1195.29</v>
      </c>
      <c r="Z71">
        <f>IF(Source!BI30=3,J64+J65+J67+J68+J69-0, 0)</f>
        <v>0</v>
      </c>
      <c r="AA71">
        <f>IF(Source!BI30=4,J64+J65+J67+J68+J69,0)</f>
        <v>0</v>
      </c>
    </row>
    <row r="72" spans="1:27" ht="28.5" x14ac:dyDescent="0.2">
      <c r="A72" s="22">
        <v>4</v>
      </c>
      <c r="B72" s="22" t="str">
        <f>Source!E31</f>
        <v>4</v>
      </c>
      <c r="C72" s="23" t="str">
        <f>Source!F31</f>
        <v>4.8-47-2</v>
      </c>
      <c r="D72" s="23" t="s">
        <v>47</v>
      </c>
      <c r="E72" s="24" t="str">
        <f>Source!H31</f>
        <v>100 м</v>
      </c>
      <c r="F72" s="10">
        <f>Source!I31</f>
        <v>0.24</v>
      </c>
      <c r="G72" s="26"/>
      <c r="H72" s="25"/>
      <c r="I72" s="10"/>
      <c r="J72" s="27"/>
      <c r="K72" s="10"/>
      <c r="L72" s="27"/>
      <c r="Q72">
        <f>ROUND((Source!DN31/100)*ROUND((ROUND((Source!AF31*Source!AV31*Source!I31),2)),2), 2)</f>
        <v>241.2</v>
      </c>
      <c r="R72">
        <f>Source!X31</f>
        <v>3491.3</v>
      </c>
      <c r="S72">
        <f>ROUND((Source!DO31/100)*ROUND((ROUND((Source!AF31*Source!AV31*Source!I31),2)),2), 2)</f>
        <v>141.76</v>
      </c>
      <c r="T72">
        <f>Source!Y31</f>
        <v>1859.01</v>
      </c>
      <c r="U72">
        <f>ROUND((175/100)*ROUND((ROUND((Source!AE31*Source!AV31*Source!I31),2)),2), 2)</f>
        <v>64.05</v>
      </c>
      <c r="V72">
        <f>ROUND((157/100)*ROUND(ROUND((ROUND((Source!AE31*Source!AV31*Source!I31),2)*Source!BS31),2), 2), 2)</f>
        <v>1231.4100000000001</v>
      </c>
    </row>
    <row r="73" spans="1:27" x14ac:dyDescent="0.2">
      <c r="D73" s="31" t="str">
        <f>"Объем: "&amp;Source!I31&amp;"=(24)/"&amp;"100"</f>
        <v>Объем: 0,24=(24)/100</v>
      </c>
    </row>
    <row r="74" spans="1:27" ht="14.25" x14ac:dyDescent="0.2">
      <c r="A74" s="22"/>
      <c r="B74" s="22"/>
      <c r="C74" s="23"/>
      <c r="D74" s="23" t="s">
        <v>270</v>
      </c>
      <c r="E74" s="24"/>
      <c r="F74" s="10"/>
      <c r="G74" s="26">
        <f>Source!AO31</f>
        <v>701.67</v>
      </c>
      <c r="H74" s="25" t="str">
        <f>Source!DG31</f>
        <v>)*1,2</v>
      </c>
      <c r="I74" s="10">
        <f>Source!AV31</f>
        <v>1.0469999999999999</v>
      </c>
      <c r="J74" s="27">
        <f>ROUND((ROUND((Source!AF31*Source!AV31*Source!I31),2)),2)</f>
        <v>211.58</v>
      </c>
      <c r="K74" s="10">
        <f>IF(Source!BA31&lt;&gt; 0, Source!BA31, 1)</f>
        <v>21.43</v>
      </c>
      <c r="L74" s="27">
        <f>Source!S31</f>
        <v>4534.16</v>
      </c>
      <c r="W74">
        <f>J74</f>
        <v>211.58</v>
      </c>
    </row>
    <row r="75" spans="1:27" ht="14.25" x14ac:dyDescent="0.2">
      <c r="A75" s="22"/>
      <c r="B75" s="22"/>
      <c r="C75" s="23"/>
      <c r="D75" s="23" t="s">
        <v>271</v>
      </c>
      <c r="E75" s="24"/>
      <c r="F75" s="10"/>
      <c r="G75" s="26">
        <f>Source!AM31</f>
        <v>523.13</v>
      </c>
      <c r="H75" s="25" t="str">
        <f>Source!DE31</f>
        <v>)*1,2</v>
      </c>
      <c r="I75" s="10">
        <f>Source!AV31</f>
        <v>1.0469999999999999</v>
      </c>
      <c r="J75" s="27">
        <f>(ROUND((ROUND((((Source!ET31*1.2))*Source!AV31*Source!I31),2)),2)+ROUND((ROUND(((Source!AE31-((Source!EU31*1.2)))*Source!AV31*Source!I31),2)),2))</f>
        <v>157.74</v>
      </c>
      <c r="K75" s="10">
        <f>IF(Source!BB31&lt;&gt; 0, Source!BB31, 1)</f>
        <v>9.94</v>
      </c>
      <c r="L75" s="27">
        <f>Source!Q31</f>
        <v>1567.94</v>
      </c>
    </row>
    <row r="76" spans="1:27" ht="14.25" x14ac:dyDescent="0.2">
      <c r="A76" s="22"/>
      <c r="B76" s="22"/>
      <c r="C76" s="23"/>
      <c r="D76" s="23" t="s">
        <v>272</v>
      </c>
      <c r="E76" s="24"/>
      <c r="F76" s="10"/>
      <c r="G76" s="26">
        <f>Source!AN31</f>
        <v>121.38</v>
      </c>
      <c r="H76" s="25" t="str">
        <f>Source!DF31</f>
        <v>)*1,2</v>
      </c>
      <c r="I76" s="10">
        <f>Source!AV31</f>
        <v>1.0469999999999999</v>
      </c>
      <c r="J76" s="28">
        <f>ROUND((ROUND((Source!AE31*Source!AV31*Source!I31),2)),2)</f>
        <v>36.6</v>
      </c>
      <c r="K76" s="10">
        <f>IF(Source!BS31&lt;&gt; 0, Source!BS31, 1)</f>
        <v>21.43</v>
      </c>
      <c r="L76" s="28">
        <f>Source!R31</f>
        <v>784.34</v>
      </c>
      <c r="W76">
        <f>J76</f>
        <v>36.6</v>
      </c>
    </row>
    <row r="77" spans="1:27" ht="14.25" x14ac:dyDescent="0.2">
      <c r="A77" s="22"/>
      <c r="B77" s="22"/>
      <c r="C77" s="23"/>
      <c r="D77" s="23" t="s">
        <v>273</v>
      </c>
      <c r="E77" s="24"/>
      <c r="F77" s="10"/>
      <c r="G77" s="26">
        <f>Source!AL31</f>
        <v>81.2</v>
      </c>
      <c r="H77" s="25" t="str">
        <f>Source!DD31</f>
        <v/>
      </c>
      <c r="I77" s="10">
        <f>Source!AW31</f>
        <v>1</v>
      </c>
      <c r="J77" s="27">
        <f>ROUND((ROUND((Source!AC31*Source!AW31*Source!I31),2)),2)</f>
        <v>19.489999999999998</v>
      </c>
      <c r="K77" s="10">
        <f>IF(Source!BC31&lt;&gt; 0, Source!BC31, 1)</f>
        <v>5.28</v>
      </c>
      <c r="L77" s="27">
        <f>Source!P31</f>
        <v>102.91</v>
      </c>
    </row>
    <row r="78" spans="1:27" ht="14.25" x14ac:dyDescent="0.2">
      <c r="A78" s="22"/>
      <c r="B78" s="22"/>
      <c r="C78" s="23"/>
      <c r="D78" s="23" t="s">
        <v>274</v>
      </c>
      <c r="E78" s="24" t="s">
        <v>275</v>
      </c>
      <c r="F78" s="10">
        <f>Source!DN31</f>
        <v>114</v>
      </c>
      <c r="G78" s="26"/>
      <c r="H78" s="25"/>
      <c r="I78" s="10"/>
      <c r="J78" s="27">
        <f>SUM(Q72:Q77)</f>
        <v>241.2</v>
      </c>
      <c r="K78" s="10">
        <f>Source!BZ31</f>
        <v>77</v>
      </c>
      <c r="L78" s="27">
        <f>SUM(R72:R77)</f>
        <v>3491.3</v>
      </c>
    </row>
    <row r="79" spans="1:27" ht="14.25" x14ac:dyDescent="0.2">
      <c r="A79" s="22"/>
      <c r="B79" s="22"/>
      <c r="C79" s="23"/>
      <c r="D79" s="23" t="s">
        <v>276</v>
      </c>
      <c r="E79" s="24" t="s">
        <v>275</v>
      </c>
      <c r="F79" s="10">
        <f>Source!DO31</f>
        <v>67</v>
      </c>
      <c r="G79" s="26"/>
      <c r="H79" s="25"/>
      <c r="I79" s="10"/>
      <c r="J79" s="27">
        <f>SUM(S72:S78)</f>
        <v>141.76</v>
      </c>
      <c r="K79" s="10">
        <f>Source!CA31</f>
        <v>41</v>
      </c>
      <c r="L79" s="27">
        <f>SUM(T72:T78)</f>
        <v>1859.01</v>
      </c>
    </row>
    <row r="80" spans="1:27" ht="14.25" x14ac:dyDescent="0.2">
      <c r="A80" s="22"/>
      <c r="B80" s="22"/>
      <c r="C80" s="23"/>
      <c r="D80" s="23" t="s">
        <v>277</v>
      </c>
      <c r="E80" s="24" t="s">
        <v>275</v>
      </c>
      <c r="F80" s="10">
        <f>175</f>
        <v>175</v>
      </c>
      <c r="G80" s="26"/>
      <c r="H80" s="25"/>
      <c r="I80" s="10"/>
      <c r="J80" s="27">
        <f>SUM(U72:U79)</f>
        <v>64.05</v>
      </c>
      <c r="K80" s="10">
        <f>157</f>
        <v>157</v>
      </c>
      <c r="L80" s="27">
        <f>SUM(V72:V79)</f>
        <v>1231.4100000000001</v>
      </c>
    </row>
    <row r="81" spans="1:27" ht="14.25" x14ac:dyDescent="0.2">
      <c r="A81" s="22"/>
      <c r="B81" s="22"/>
      <c r="C81" s="23"/>
      <c r="D81" s="23" t="s">
        <v>278</v>
      </c>
      <c r="E81" s="24" t="s">
        <v>279</v>
      </c>
      <c r="F81" s="10">
        <f>Source!AQ31</f>
        <v>55.6</v>
      </c>
      <c r="G81" s="26"/>
      <c r="H81" s="25" t="str">
        <f>Source!DI31</f>
        <v>)*1,2</v>
      </c>
      <c r="I81" s="10">
        <f>Source!AV31</f>
        <v>1.0469999999999999</v>
      </c>
      <c r="J81" s="27">
        <f>Source!U31</f>
        <v>16.765401600000001</v>
      </c>
      <c r="K81" s="10"/>
      <c r="L81" s="27"/>
    </row>
    <row r="82" spans="1:27" ht="15" x14ac:dyDescent="0.25">
      <c r="A82" s="30"/>
      <c r="B82" s="30"/>
      <c r="C82" s="30"/>
      <c r="D82" s="30"/>
      <c r="E82" s="30"/>
      <c r="F82" s="30"/>
      <c r="G82" s="30"/>
      <c r="H82" s="30"/>
      <c r="I82" s="54">
        <f>J74+J75+J77+J78+J79+J80</f>
        <v>835.81999999999994</v>
      </c>
      <c r="J82" s="54"/>
      <c r="K82" s="54">
        <f>L74+L75+L77+L78+L79+L80</f>
        <v>12786.730000000001</v>
      </c>
      <c r="L82" s="54"/>
      <c r="O82" s="29">
        <f>J74+J75+J77+J78+J79+J80</f>
        <v>835.81999999999994</v>
      </c>
      <c r="P82" s="29">
        <f>L74+L75+L77+L78+L79+L80</f>
        <v>12786.730000000001</v>
      </c>
      <c r="X82">
        <f>IF(Source!BI31&lt;=1,J74+J75+J77+J78+J79+J80-0, 0)</f>
        <v>0</v>
      </c>
      <c r="Y82">
        <f>IF(Source!BI31=2,J74+J75+J77+J78+J79+J80-0, 0)</f>
        <v>835.81999999999994</v>
      </c>
      <c r="Z82">
        <f>IF(Source!BI31=3,J74+J75+J77+J78+J79+J80-0, 0)</f>
        <v>0</v>
      </c>
      <c r="AA82">
        <f>IF(Source!BI31=4,J74+J75+J77+J78+J79+J80,0)</f>
        <v>0</v>
      </c>
    </row>
    <row r="83" spans="1:27" ht="85.5" x14ac:dyDescent="0.2">
      <c r="A83" s="22">
        <v>5</v>
      </c>
      <c r="B83" s="22" t="str">
        <f>Source!E32</f>
        <v>5</v>
      </c>
      <c r="C83" s="23" t="str">
        <f>Source!F32</f>
        <v>4.8-79-3</v>
      </c>
      <c r="D83" s="23" t="s">
        <v>52</v>
      </c>
      <c r="E83" s="24" t="str">
        <f>Source!H32</f>
        <v>100 м</v>
      </c>
      <c r="F83" s="10">
        <f>Source!I32</f>
        <v>0.16</v>
      </c>
      <c r="G83" s="26"/>
      <c r="H83" s="25"/>
      <c r="I83" s="10"/>
      <c r="J83" s="27"/>
      <c r="K83" s="10"/>
      <c r="L83" s="27"/>
      <c r="Q83">
        <f>ROUND((Source!DN32/100)*ROUND((ROUND((Source!AF32*Source!AV32*Source!I32),2)),2), 2)</f>
        <v>46.36</v>
      </c>
      <c r="R83">
        <f>Source!X32</f>
        <v>777.26</v>
      </c>
      <c r="S83">
        <f>ROUND((Source!DO32/100)*ROUND((ROUND((Source!AF32*Source!AV32*Source!I32),2)),2), 2)</f>
        <v>27.25</v>
      </c>
      <c r="T83">
        <f>Source!Y32</f>
        <v>413.87</v>
      </c>
      <c r="U83">
        <f>ROUND((175/100)*ROUND((ROUND((Source!AE32*Source!AV32*Source!I32),2)),2), 2)</f>
        <v>26.92</v>
      </c>
      <c r="V83">
        <f>ROUND((157/100)*ROUND(ROUND((ROUND((Source!AE32*Source!AV32*Source!I32),2)*Source!BS32),2), 2), 2)</f>
        <v>599.32000000000005</v>
      </c>
    </row>
    <row r="84" spans="1:27" x14ac:dyDescent="0.2">
      <c r="D84" s="31" t="str">
        <f>"Объем: "&amp;Source!I32&amp;"=16/"&amp;"100"</f>
        <v>Объем: 0,16=16/100</v>
      </c>
    </row>
    <row r="85" spans="1:27" ht="14.25" x14ac:dyDescent="0.2">
      <c r="A85" s="22"/>
      <c r="B85" s="22"/>
      <c r="C85" s="23"/>
      <c r="D85" s="23" t="s">
        <v>270</v>
      </c>
      <c r="E85" s="24"/>
      <c r="F85" s="10"/>
      <c r="G85" s="26">
        <f>Source!AO32</f>
        <v>198.51</v>
      </c>
      <c r="H85" s="25" t="str">
        <f>Source!DG32</f>
        <v>)*1,2</v>
      </c>
      <c r="I85" s="10">
        <f>Source!AV32</f>
        <v>1.0669999999999999</v>
      </c>
      <c r="J85" s="27">
        <f>ROUND((ROUND((Source!AF32*Source!AV32*Source!I32),2)),2)</f>
        <v>40.67</v>
      </c>
      <c r="K85" s="10">
        <f>IF(Source!BA32&lt;&gt; 0, Source!BA32, 1)</f>
        <v>24.82</v>
      </c>
      <c r="L85" s="27">
        <f>Source!S32</f>
        <v>1009.43</v>
      </c>
      <c r="W85">
        <f>J85</f>
        <v>40.67</v>
      </c>
    </row>
    <row r="86" spans="1:27" ht="14.25" x14ac:dyDescent="0.2">
      <c r="A86" s="22"/>
      <c r="B86" s="22"/>
      <c r="C86" s="23"/>
      <c r="D86" s="23" t="s">
        <v>271</v>
      </c>
      <c r="E86" s="24"/>
      <c r="F86" s="10"/>
      <c r="G86" s="26">
        <f>Source!AM32</f>
        <v>463.73</v>
      </c>
      <c r="H86" s="25" t="str">
        <f>Source!DE32</f>
        <v>)*1,2</v>
      </c>
      <c r="I86" s="10">
        <f>Source!AV32</f>
        <v>1.0669999999999999</v>
      </c>
      <c r="J86" s="27">
        <f>(ROUND((ROUND((((Source!ET32*1.2))*Source!AV32*Source!I32),2)),2)+ROUND((ROUND(((Source!AE32-((Source!EU32*1.2)))*Source!AV32*Source!I32),2)),2))</f>
        <v>95</v>
      </c>
      <c r="K86" s="10">
        <f>IF(Source!BB32&lt;&gt; 0, Source!BB32, 1)</f>
        <v>5.52</v>
      </c>
      <c r="L86" s="27">
        <f>Source!Q32</f>
        <v>524.4</v>
      </c>
    </row>
    <row r="87" spans="1:27" ht="14.25" x14ac:dyDescent="0.2">
      <c r="A87" s="22"/>
      <c r="B87" s="22"/>
      <c r="C87" s="23"/>
      <c r="D87" s="23" t="s">
        <v>272</v>
      </c>
      <c r="E87" s="24"/>
      <c r="F87" s="10"/>
      <c r="G87" s="26">
        <f>Source!AN32</f>
        <v>75.08</v>
      </c>
      <c r="H87" s="25" t="str">
        <f>Source!DF32</f>
        <v>)*1,2</v>
      </c>
      <c r="I87" s="10">
        <f>Source!AV32</f>
        <v>1.0669999999999999</v>
      </c>
      <c r="J87" s="28">
        <f>ROUND((ROUND((Source!AE32*Source!AV32*Source!I32),2)),2)</f>
        <v>15.38</v>
      </c>
      <c r="K87" s="10">
        <f>IF(Source!BS32&lt;&gt; 0, Source!BS32, 1)</f>
        <v>24.82</v>
      </c>
      <c r="L87" s="28">
        <f>Source!R32</f>
        <v>381.73</v>
      </c>
      <c r="W87">
        <f>J87</f>
        <v>15.38</v>
      </c>
    </row>
    <row r="88" spans="1:27" ht="14.25" x14ac:dyDescent="0.2">
      <c r="A88" s="22"/>
      <c r="B88" s="22"/>
      <c r="C88" s="23"/>
      <c r="D88" s="23" t="s">
        <v>273</v>
      </c>
      <c r="E88" s="24"/>
      <c r="F88" s="10"/>
      <c r="G88" s="26">
        <f>Source!AL32</f>
        <v>27.23</v>
      </c>
      <c r="H88" s="25" t="str">
        <f>Source!DD32</f>
        <v/>
      </c>
      <c r="I88" s="10">
        <f>Source!AW32</f>
        <v>1.081</v>
      </c>
      <c r="J88" s="27">
        <f>ROUND((ROUND((Source!AC32*Source!AW32*Source!I32),2)),2)</f>
        <v>4.71</v>
      </c>
      <c r="K88" s="10">
        <f>IF(Source!BC32&lt;&gt; 0, Source!BC32, 1)</f>
        <v>5.29</v>
      </c>
      <c r="L88" s="27">
        <f>Source!P32</f>
        <v>24.92</v>
      </c>
    </row>
    <row r="89" spans="1:27" ht="14.25" x14ac:dyDescent="0.2">
      <c r="A89" s="22"/>
      <c r="B89" s="22"/>
      <c r="C89" s="23"/>
      <c r="D89" s="23" t="s">
        <v>274</v>
      </c>
      <c r="E89" s="24" t="s">
        <v>275</v>
      </c>
      <c r="F89" s="10">
        <f>Source!DN32</f>
        <v>114</v>
      </c>
      <c r="G89" s="26"/>
      <c r="H89" s="25"/>
      <c r="I89" s="10"/>
      <c r="J89" s="27">
        <f>SUM(Q83:Q88)</f>
        <v>46.36</v>
      </c>
      <c r="K89" s="10">
        <f>Source!BZ32</f>
        <v>77</v>
      </c>
      <c r="L89" s="27">
        <f>SUM(R83:R88)</f>
        <v>777.26</v>
      </c>
    </row>
    <row r="90" spans="1:27" ht="14.25" x14ac:dyDescent="0.2">
      <c r="A90" s="22"/>
      <c r="B90" s="22"/>
      <c r="C90" s="23"/>
      <c r="D90" s="23" t="s">
        <v>276</v>
      </c>
      <c r="E90" s="24" t="s">
        <v>275</v>
      </c>
      <c r="F90" s="10">
        <f>Source!DO32</f>
        <v>67</v>
      </c>
      <c r="G90" s="26"/>
      <c r="H90" s="25"/>
      <c r="I90" s="10"/>
      <c r="J90" s="27">
        <f>SUM(S83:S89)</f>
        <v>27.25</v>
      </c>
      <c r="K90" s="10">
        <f>Source!CA32</f>
        <v>41</v>
      </c>
      <c r="L90" s="27">
        <f>SUM(T83:T89)</f>
        <v>413.87</v>
      </c>
    </row>
    <row r="91" spans="1:27" ht="14.25" x14ac:dyDescent="0.2">
      <c r="A91" s="22"/>
      <c r="B91" s="22"/>
      <c r="C91" s="23"/>
      <c r="D91" s="23" t="s">
        <v>277</v>
      </c>
      <c r="E91" s="24" t="s">
        <v>275</v>
      </c>
      <c r="F91" s="10">
        <f>175</f>
        <v>175</v>
      </c>
      <c r="G91" s="26"/>
      <c r="H91" s="25"/>
      <c r="I91" s="10"/>
      <c r="J91" s="27">
        <f>SUM(U83:U90)</f>
        <v>26.92</v>
      </c>
      <c r="K91" s="10">
        <f>157</f>
        <v>157</v>
      </c>
      <c r="L91" s="27">
        <f>SUM(V83:V90)</f>
        <v>599.32000000000005</v>
      </c>
    </row>
    <row r="92" spans="1:27" ht="14.25" x14ac:dyDescent="0.2">
      <c r="A92" s="22"/>
      <c r="B92" s="22"/>
      <c r="C92" s="23"/>
      <c r="D92" s="23" t="s">
        <v>278</v>
      </c>
      <c r="E92" s="24" t="s">
        <v>279</v>
      </c>
      <c r="F92" s="10">
        <f>Source!AQ32</f>
        <v>16.100000000000001</v>
      </c>
      <c r="G92" s="26"/>
      <c r="H92" s="25" t="str">
        <f>Source!DI32</f>
        <v>)*1,2</v>
      </c>
      <c r="I92" s="10">
        <f>Source!AV32</f>
        <v>1.0669999999999999</v>
      </c>
      <c r="J92" s="27">
        <f>Source!U32</f>
        <v>3.2983103999999996</v>
      </c>
      <c r="K92" s="10"/>
      <c r="L92" s="27"/>
    </row>
    <row r="93" spans="1:27" ht="15" x14ac:dyDescent="0.25">
      <c r="A93" s="30"/>
      <c r="B93" s="30"/>
      <c r="C93" s="30"/>
      <c r="D93" s="30"/>
      <c r="E93" s="30"/>
      <c r="F93" s="30"/>
      <c r="G93" s="30"/>
      <c r="H93" s="30"/>
      <c r="I93" s="54">
        <f>J85+J86+J88+J89+J90+J91</f>
        <v>240.91000000000003</v>
      </c>
      <c r="J93" s="54"/>
      <c r="K93" s="54">
        <f>L85+L86+L88+L89+L90+L91</f>
        <v>3349.2000000000003</v>
      </c>
      <c r="L93" s="54"/>
      <c r="O93" s="29">
        <f>J85+J86+J88+J89+J90+J91</f>
        <v>240.91000000000003</v>
      </c>
      <c r="P93" s="29">
        <f>L85+L86+L88+L89+L90+L91</f>
        <v>3349.2000000000003</v>
      </c>
      <c r="X93">
        <f>IF(Source!BI32&lt;=1,J85+J86+J88+J89+J90+J91-0, 0)</f>
        <v>0</v>
      </c>
      <c r="Y93">
        <f>IF(Source!BI32=2,J85+J86+J88+J89+J90+J91-0, 0)</f>
        <v>240.91000000000003</v>
      </c>
      <c r="Z93">
        <f>IF(Source!BI32=3,J85+J86+J88+J89+J90+J91-0, 0)</f>
        <v>0</v>
      </c>
      <c r="AA93">
        <f>IF(Source!BI32=4,J85+J86+J88+J89+J90+J91,0)</f>
        <v>0</v>
      </c>
    </row>
    <row r="94" spans="1:27" ht="85.5" x14ac:dyDescent="0.2">
      <c r="A94" s="22">
        <v>6</v>
      </c>
      <c r="B94" s="22" t="str">
        <f>Source!E33</f>
        <v>6</v>
      </c>
      <c r="C94" s="23" t="str">
        <f>Source!F33</f>
        <v>4.8-79-3</v>
      </c>
      <c r="D94" s="23" t="s">
        <v>57</v>
      </c>
      <c r="E94" s="24" t="str">
        <f>Source!H33</f>
        <v>100 м</v>
      </c>
      <c r="F94" s="10">
        <f>Source!I33</f>
        <v>0.16</v>
      </c>
      <c r="G94" s="26"/>
      <c r="H94" s="25"/>
      <c r="I94" s="10"/>
      <c r="J94" s="27"/>
      <c r="K94" s="10"/>
      <c r="L94" s="27"/>
      <c r="Q94">
        <f>ROUND((Source!DN33/100)*ROUND((ROUND((Source!AF33*Source!AV33*Source!I33),2)),2), 2)</f>
        <v>18.55</v>
      </c>
      <c r="R94">
        <f>Source!X33</f>
        <v>310.94</v>
      </c>
      <c r="S94">
        <f>ROUND((Source!DO33/100)*ROUND((ROUND((Source!AF33*Source!AV33*Source!I33),2)),2), 2)</f>
        <v>10.9</v>
      </c>
      <c r="T94">
        <f>Source!Y33</f>
        <v>165.57</v>
      </c>
      <c r="U94">
        <f>ROUND((175/100)*ROUND((ROUND((Source!AE33*Source!AV33*Source!I33),2)),2), 2)</f>
        <v>10.76</v>
      </c>
      <c r="V94">
        <f>ROUND((157/100)*ROUND(ROUND((ROUND((Source!AE33*Source!AV33*Source!I33),2)*Source!BS33),2), 2), 2)</f>
        <v>239.64</v>
      </c>
    </row>
    <row r="95" spans="1:27" x14ac:dyDescent="0.2">
      <c r="D95" s="31" t="str">
        <f>"Объем: "&amp;Source!I33&amp;"=(16)/"&amp;"100"</f>
        <v>Объем: 0,16=(16)/100</v>
      </c>
    </row>
    <row r="96" spans="1:27" ht="28.5" x14ac:dyDescent="0.2">
      <c r="A96" s="22"/>
      <c r="B96" s="22"/>
      <c r="C96" s="23"/>
      <c r="D96" s="23" t="s">
        <v>270</v>
      </c>
      <c r="E96" s="24"/>
      <c r="F96" s="10"/>
      <c r="G96" s="26">
        <f>Source!AO33</f>
        <v>198.51</v>
      </c>
      <c r="H96" s="25" t="str">
        <f>Source!DG33</f>
        <v>)*0,4)*1,2</v>
      </c>
      <c r="I96" s="10">
        <f>Source!AV33</f>
        <v>1.0669999999999999</v>
      </c>
      <c r="J96" s="27">
        <f>ROUND((ROUND((Source!AF33*Source!AV33*Source!I33),2)),2)</f>
        <v>16.27</v>
      </c>
      <c r="K96" s="10">
        <f>IF(Source!BA33&lt;&gt; 0, Source!BA33, 1)</f>
        <v>24.82</v>
      </c>
      <c r="L96" s="27">
        <f>Source!S33</f>
        <v>403.82</v>
      </c>
      <c r="W96">
        <f>J96</f>
        <v>16.27</v>
      </c>
    </row>
    <row r="97" spans="1:27" ht="28.5" x14ac:dyDescent="0.2">
      <c r="A97" s="22"/>
      <c r="B97" s="22"/>
      <c r="C97" s="23"/>
      <c r="D97" s="23" t="s">
        <v>271</v>
      </c>
      <c r="E97" s="24"/>
      <c r="F97" s="10"/>
      <c r="G97" s="26">
        <f>Source!AM33</f>
        <v>463.73</v>
      </c>
      <c r="H97" s="25" t="str">
        <f>Source!DE33</f>
        <v>)*0,4)*1,2</v>
      </c>
      <c r="I97" s="10">
        <f>Source!AV33</f>
        <v>1.0669999999999999</v>
      </c>
      <c r="J97" s="27">
        <f>(ROUND((ROUND(((((Source!ET33*0.4)*1.2))*Source!AV33*Source!I33),2)),2)+ROUND((ROUND(((Source!AE33-(((Source!EU33*0.4)*1.2)))*Source!AV33*Source!I33),2)),2))</f>
        <v>38</v>
      </c>
      <c r="K97" s="10">
        <f>IF(Source!BB33&lt;&gt; 0, Source!BB33, 1)</f>
        <v>5.52</v>
      </c>
      <c r="L97" s="27">
        <f>Source!Q33</f>
        <v>209.76</v>
      </c>
    </row>
    <row r="98" spans="1:27" ht="28.5" x14ac:dyDescent="0.2">
      <c r="A98" s="22"/>
      <c r="B98" s="22"/>
      <c r="C98" s="23"/>
      <c r="D98" s="23" t="s">
        <v>272</v>
      </c>
      <c r="E98" s="24"/>
      <c r="F98" s="10"/>
      <c r="G98" s="26">
        <f>Source!AN33</f>
        <v>75.08</v>
      </c>
      <c r="H98" s="25" t="str">
        <f>Source!DF33</f>
        <v>)*0,4)*1,2</v>
      </c>
      <c r="I98" s="10">
        <f>Source!AV33</f>
        <v>1.0669999999999999</v>
      </c>
      <c r="J98" s="28">
        <f>ROUND((ROUND((Source!AE33*Source!AV33*Source!I33),2)),2)</f>
        <v>6.15</v>
      </c>
      <c r="K98" s="10">
        <f>IF(Source!BS33&lt;&gt; 0, Source!BS33, 1)</f>
        <v>24.82</v>
      </c>
      <c r="L98" s="28">
        <f>Source!R33</f>
        <v>152.63999999999999</v>
      </c>
      <c r="W98">
        <f>J98</f>
        <v>6.15</v>
      </c>
    </row>
    <row r="99" spans="1:27" ht="14.25" x14ac:dyDescent="0.2">
      <c r="A99" s="22"/>
      <c r="B99" s="22"/>
      <c r="C99" s="23"/>
      <c r="D99" s="23" t="s">
        <v>274</v>
      </c>
      <c r="E99" s="24" t="s">
        <v>275</v>
      </c>
      <c r="F99" s="10">
        <f>Source!DN33</f>
        <v>114</v>
      </c>
      <c r="G99" s="26"/>
      <c r="H99" s="25"/>
      <c r="I99" s="10"/>
      <c r="J99" s="27">
        <f>SUM(Q94:Q98)</f>
        <v>18.55</v>
      </c>
      <c r="K99" s="10">
        <f>Source!BZ33</f>
        <v>77</v>
      </c>
      <c r="L99" s="27">
        <f>SUM(R94:R98)</f>
        <v>310.94</v>
      </c>
    </row>
    <row r="100" spans="1:27" ht="14.25" x14ac:dyDescent="0.2">
      <c r="A100" s="22"/>
      <c r="B100" s="22"/>
      <c r="C100" s="23"/>
      <c r="D100" s="23" t="s">
        <v>276</v>
      </c>
      <c r="E100" s="24" t="s">
        <v>275</v>
      </c>
      <c r="F100" s="10">
        <f>Source!DO33</f>
        <v>67</v>
      </c>
      <c r="G100" s="26"/>
      <c r="H100" s="25"/>
      <c r="I100" s="10"/>
      <c r="J100" s="27">
        <f>SUM(S94:S99)</f>
        <v>10.9</v>
      </c>
      <c r="K100" s="10">
        <f>Source!CA33</f>
        <v>41</v>
      </c>
      <c r="L100" s="27">
        <f>SUM(T94:T99)</f>
        <v>165.57</v>
      </c>
    </row>
    <row r="101" spans="1:27" ht="14.25" x14ac:dyDescent="0.2">
      <c r="A101" s="22"/>
      <c r="B101" s="22"/>
      <c r="C101" s="23"/>
      <c r="D101" s="23" t="s">
        <v>277</v>
      </c>
      <c r="E101" s="24" t="s">
        <v>275</v>
      </c>
      <c r="F101" s="10">
        <f>175</f>
        <v>175</v>
      </c>
      <c r="G101" s="26"/>
      <c r="H101" s="25"/>
      <c r="I101" s="10"/>
      <c r="J101" s="27">
        <f>SUM(U94:U100)</f>
        <v>10.76</v>
      </c>
      <c r="K101" s="10">
        <f>157</f>
        <v>157</v>
      </c>
      <c r="L101" s="27">
        <f>SUM(V94:V100)</f>
        <v>239.64</v>
      </c>
    </row>
    <row r="102" spans="1:27" ht="28.5" x14ac:dyDescent="0.2">
      <c r="A102" s="22"/>
      <c r="B102" s="22"/>
      <c r="C102" s="23"/>
      <c r="D102" s="23" t="s">
        <v>278</v>
      </c>
      <c r="E102" s="24" t="s">
        <v>279</v>
      </c>
      <c r="F102" s="10">
        <f>Source!AQ33</f>
        <v>16.100000000000001</v>
      </c>
      <c r="G102" s="26"/>
      <c r="H102" s="25" t="str">
        <f>Source!DI33</f>
        <v>)*0,4)*1,2</v>
      </c>
      <c r="I102" s="10">
        <f>Source!AV33</f>
        <v>1.0669999999999999</v>
      </c>
      <c r="J102" s="27">
        <f>Source!U33</f>
        <v>1.3193241600000003</v>
      </c>
      <c r="K102" s="10"/>
      <c r="L102" s="27"/>
    </row>
    <row r="103" spans="1:27" ht="15" x14ac:dyDescent="0.25">
      <c r="A103" s="30"/>
      <c r="B103" s="30"/>
      <c r="C103" s="30"/>
      <c r="D103" s="30"/>
      <c r="E103" s="30"/>
      <c r="F103" s="30"/>
      <c r="G103" s="30"/>
      <c r="H103" s="30"/>
      <c r="I103" s="54">
        <f>J96+J97+J99+J100+J101</f>
        <v>94.48</v>
      </c>
      <c r="J103" s="54"/>
      <c r="K103" s="54">
        <f>L96+L97+L99+L100+L101</f>
        <v>1329.73</v>
      </c>
      <c r="L103" s="54"/>
      <c r="O103" s="29">
        <f>J96+J97+J99+J100+J101</f>
        <v>94.48</v>
      </c>
      <c r="P103" s="29">
        <f>L96+L97+L99+L100+L101</f>
        <v>1329.73</v>
      </c>
      <c r="X103">
        <f>IF(Source!BI33&lt;=1,J96+J97+J99+J100+J101-0, 0)</f>
        <v>0</v>
      </c>
      <c r="Y103">
        <f>IF(Source!BI33=2,J96+J97+J99+J100+J101-0, 0)</f>
        <v>94.48</v>
      </c>
      <c r="Z103">
        <f>IF(Source!BI33=3,J96+J97+J99+J100+J101-0, 0)</f>
        <v>0</v>
      </c>
      <c r="AA103">
        <f>IF(Source!BI33=4,J96+J97+J99+J100+J101,0)</f>
        <v>0</v>
      </c>
    </row>
    <row r="104" spans="1:27" ht="85.5" x14ac:dyDescent="0.2">
      <c r="A104" s="22">
        <v>7</v>
      </c>
      <c r="B104" s="22" t="str">
        <f>Source!E34</f>
        <v>7</v>
      </c>
      <c r="C104" s="23" t="str">
        <f>Source!F34</f>
        <v>4.8-79-4</v>
      </c>
      <c r="D104" s="23" t="s">
        <v>62</v>
      </c>
      <c r="E104" s="24" t="str">
        <f>Source!H34</f>
        <v>100 м</v>
      </c>
      <c r="F104" s="10">
        <f>Source!I34</f>
        <v>0.32</v>
      </c>
      <c r="G104" s="26"/>
      <c r="H104" s="25"/>
      <c r="I104" s="10"/>
      <c r="J104" s="27"/>
      <c r="K104" s="10"/>
      <c r="L104" s="27"/>
      <c r="Q104">
        <f>ROUND((Source!DN34/100)*ROUND((ROUND((Source!AF34*Source!AV34*Source!I34),2)),2), 2)</f>
        <v>125.55</v>
      </c>
      <c r="R104">
        <f>Source!X34</f>
        <v>2104.7399999999998</v>
      </c>
      <c r="S104">
        <f>ROUND((Source!DO34/100)*ROUND((ROUND((Source!AF34*Source!AV34*Source!I34),2)),2), 2)</f>
        <v>73.790000000000006</v>
      </c>
      <c r="T104">
        <f>Source!Y34</f>
        <v>1120.71</v>
      </c>
      <c r="U104">
        <f>ROUND((175/100)*ROUND((ROUND((Source!AE34*Source!AV34*Source!I34),2)),2), 2)</f>
        <v>77.459999999999994</v>
      </c>
      <c r="V104">
        <f>ROUND((157/100)*ROUND(ROUND((ROUND((Source!AE34*Source!AV34*Source!I34),2)*Source!BS34),2), 2), 2)</f>
        <v>1724.69</v>
      </c>
    </row>
    <row r="105" spans="1:27" x14ac:dyDescent="0.2">
      <c r="D105" s="31" t="str">
        <f>"Объем: "&amp;Source!I34&amp;"=32/"&amp;"100"</f>
        <v>Объем: 0,32=32/100</v>
      </c>
    </row>
    <row r="106" spans="1:27" ht="14.25" x14ac:dyDescent="0.2">
      <c r="A106" s="22"/>
      <c r="B106" s="22"/>
      <c r="C106" s="23"/>
      <c r="D106" s="23" t="s">
        <v>270</v>
      </c>
      <c r="E106" s="24"/>
      <c r="F106" s="10"/>
      <c r="G106" s="26">
        <f>Source!AO34</f>
        <v>268.79000000000002</v>
      </c>
      <c r="H106" s="25" t="str">
        <f>Source!DG34</f>
        <v>)*1,2</v>
      </c>
      <c r="I106" s="10">
        <f>Source!AV34</f>
        <v>1.0669999999999999</v>
      </c>
      <c r="J106" s="27">
        <f>ROUND((ROUND((Source!AF34*Source!AV34*Source!I34),2)),2)</f>
        <v>110.13</v>
      </c>
      <c r="K106" s="10">
        <f>IF(Source!BA34&lt;&gt; 0, Source!BA34, 1)</f>
        <v>24.82</v>
      </c>
      <c r="L106" s="27">
        <f>Source!S34</f>
        <v>2733.43</v>
      </c>
      <c r="W106">
        <f>J106</f>
        <v>110.13</v>
      </c>
    </row>
    <row r="107" spans="1:27" ht="14.25" x14ac:dyDescent="0.2">
      <c r="A107" s="22"/>
      <c r="B107" s="22"/>
      <c r="C107" s="23"/>
      <c r="D107" s="23" t="s">
        <v>271</v>
      </c>
      <c r="E107" s="24"/>
      <c r="F107" s="10"/>
      <c r="G107" s="26">
        <f>Source!AM34</f>
        <v>652.54999999999995</v>
      </c>
      <c r="H107" s="25" t="str">
        <f>Source!DE34</f>
        <v>)*1,2</v>
      </c>
      <c r="I107" s="10">
        <f>Source!AV34</f>
        <v>1.0669999999999999</v>
      </c>
      <c r="J107" s="27">
        <f>(ROUND((ROUND((((Source!ET34*1.2))*Source!AV34*Source!I34),2)),2)+ROUND((ROUND(((Source!AE34-((Source!EU34*1.2)))*Source!AV34*Source!I34),2)),2))</f>
        <v>267.37</v>
      </c>
      <c r="K107" s="10">
        <f>IF(Source!BB34&lt;&gt; 0, Source!BB34, 1)</f>
        <v>5.69</v>
      </c>
      <c r="L107" s="27">
        <f>Source!Q34</f>
        <v>1521.34</v>
      </c>
    </row>
    <row r="108" spans="1:27" ht="14.25" x14ac:dyDescent="0.2">
      <c r="A108" s="22"/>
      <c r="B108" s="22"/>
      <c r="C108" s="23"/>
      <c r="D108" s="23" t="s">
        <v>272</v>
      </c>
      <c r="E108" s="24"/>
      <c r="F108" s="10"/>
      <c r="G108" s="26">
        <f>Source!AN34</f>
        <v>108.03</v>
      </c>
      <c r="H108" s="25" t="str">
        <f>Source!DF34</f>
        <v>)*1,2</v>
      </c>
      <c r="I108" s="10">
        <f>Source!AV34</f>
        <v>1.0669999999999999</v>
      </c>
      <c r="J108" s="28">
        <f>ROUND((ROUND((Source!AE34*Source!AV34*Source!I34),2)),2)</f>
        <v>44.26</v>
      </c>
      <c r="K108" s="10">
        <f>IF(Source!BS34&lt;&gt; 0, Source!BS34, 1)</f>
        <v>24.82</v>
      </c>
      <c r="L108" s="28">
        <f>Source!R34</f>
        <v>1098.53</v>
      </c>
      <c r="W108">
        <f>J108</f>
        <v>44.26</v>
      </c>
    </row>
    <row r="109" spans="1:27" ht="14.25" x14ac:dyDescent="0.2">
      <c r="A109" s="22"/>
      <c r="B109" s="22"/>
      <c r="C109" s="23"/>
      <c r="D109" s="23" t="s">
        <v>273</v>
      </c>
      <c r="E109" s="24"/>
      <c r="F109" s="10"/>
      <c r="G109" s="26">
        <f>Source!AL34</f>
        <v>28.07</v>
      </c>
      <c r="H109" s="25" t="str">
        <f>Source!DD34</f>
        <v/>
      </c>
      <c r="I109" s="10">
        <f>Source!AW34</f>
        <v>1.081</v>
      </c>
      <c r="J109" s="27">
        <f>ROUND((ROUND((Source!AC34*Source!AW34*Source!I34),2)),2)</f>
        <v>9.7100000000000009</v>
      </c>
      <c r="K109" s="10">
        <f>IF(Source!BC34&lt;&gt; 0, Source!BC34, 1)</f>
        <v>5.29</v>
      </c>
      <c r="L109" s="27">
        <f>Source!P34</f>
        <v>51.37</v>
      </c>
    </row>
    <row r="110" spans="1:27" ht="14.25" x14ac:dyDescent="0.2">
      <c r="A110" s="22"/>
      <c r="B110" s="22"/>
      <c r="C110" s="23"/>
      <c r="D110" s="23" t="s">
        <v>274</v>
      </c>
      <c r="E110" s="24" t="s">
        <v>275</v>
      </c>
      <c r="F110" s="10">
        <f>Source!DN34</f>
        <v>114</v>
      </c>
      <c r="G110" s="26"/>
      <c r="H110" s="25"/>
      <c r="I110" s="10"/>
      <c r="J110" s="27">
        <f>SUM(Q104:Q109)</f>
        <v>125.55</v>
      </c>
      <c r="K110" s="10">
        <f>Source!BZ34</f>
        <v>77</v>
      </c>
      <c r="L110" s="27">
        <f>SUM(R104:R109)</f>
        <v>2104.7399999999998</v>
      </c>
    </row>
    <row r="111" spans="1:27" ht="14.25" x14ac:dyDescent="0.2">
      <c r="A111" s="22"/>
      <c r="B111" s="22"/>
      <c r="C111" s="23"/>
      <c r="D111" s="23" t="s">
        <v>276</v>
      </c>
      <c r="E111" s="24" t="s">
        <v>275</v>
      </c>
      <c r="F111" s="10">
        <f>Source!DO34</f>
        <v>67</v>
      </c>
      <c r="G111" s="26"/>
      <c r="H111" s="25"/>
      <c r="I111" s="10"/>
      <c r="J111" s="27">
        <f>SUM(S104:S110)</f>
        <v>73.790000000000006</v>
      </c>
      <c r="K111" s="10">
        <f>Source!CA34</f>
        <v>41</v>
      </c>
      <c r="L111" s="27">
        <f>SUM(T104:T110)</f>
        <v>1120.71</v>
      </c>
    </row>
    <row r="112" spans="1:27" ht="14.25" x14ac:dyDescent="0.2">
      <c r="A112" s="22"/>
      <c r="B112" s="22"/>
      <c r="C112" s="23"/>
      <c r="D112" s="23" t="s">
        <v>277</v>
      </c>
      <c r="E112" s="24" t="s">
        <v>275</v>
      </c>
      <c r="F112" s="10">
        <f>175</f>
        <v>175</v>
      </c>
      <c r="G112" s="26"/>
      <c r="H112" s="25"/>
      <c r="I112" s="10"/>
      <c r="J112" s="27">
        <f>SUM(U104:U111)</f>
        <v>77.459999999999994</v>
      </c>
      <c r="K112" s="10">
        <f>157</f>
        <v>157</v>
      </c>
      <c r="L112" s="27">
        <f>SUM(V104:V111)</f>
        <v>1724.69</v>
      </c>
    </row>
    <row r="113" spans="1:27" ht="14.25" x14ac:dyDescent="0.2">
      <c r="A113" s="22"/>
      <c r="B113" s="22"/>
      <c r="C113" s="23"/>
      <c r="D113" s="23" t="s">
        <v>278</v>
      </c>
      <c r="E113" s="24" t="s">
        <v>279</v>
      </c>
      <c r="F113" s="10">
        <f>Source!AQ34</f>
        <v>21.8</v>
      </c>
      <c r="G113" s="26"/>
      <c r="H113" s="25" t="str">
        <f>Source!DI34</f>
        <v>)*1,2</v>
      </c>
      <c r="I113" s="10">
        <f>Source!AV34</f>
        <v>1.0669999999999999</v>
      </c>
      <c r="J113" s="27">
        <f>Source!U34</f>
        <v>8.9320704000000006</v>
      </c>
      <c r="K113" s="10"/>
      <c r="L113" s="27"/>
    </row>
    <row r="114" spans="1:27" ht="15" x14ac:dyDescent="0.25">
      <c r="A114" s="30"/>
      <c r="B114" s="30"/>
      <c r="C114" s="30"/>
      <c r="D114" s="30"/>
      <c r="E114" s="30"/>
      <c r="F114" s="30"/>
      <c r="G114" s="30"/>
      <c r="H114" s="30"/>
      <c r="I114" s="54">
        <f>J106+J107+J109+J110+J111+J112</f>
        <v>664.01</v>
      </c>
      <c r="J114" s="54"/>
      <c r="K114" s="54">
        <f>L106+L107+L109+L110+L111+L112</f>
        <v>9256.2799999999988</v>
      </c>
      <c r="L114" s="54"/>
      <c r="O114" s="29">
        <f>J106+J107+J109+J110+J111+J112</f>
        <v>664.01</v>
      </c>
      <c r="P114" s="29">
        <f>L106+L107+L109+L110+L111+L112</f>
        <v>9256.2799999999988</v>
      </c>
      <c r="X114">
        <f>IF(Source!BI34&lt;=1,J106+J107+J109+J110+J111+J112-0, 0)</f>
        <v>0</v>
      </c>
      <c r="Y114">
        <f>IF(Source!BI34=2,J106+J107+J109+J110+J111+J112-0, 0)</f>
        <v>664.01</v>
      </c>
      <c r="Z114">
        <f>IF(Source!BI34=3,J106+J107+J109+J110+J111+J112-0, 0)</f>
        <v>0</v>
      </c>
      <c r="AA114">
        <f>IF(Source!BI34=4,J106+J107+J109+J110+J111+J112,0)</f>
        <v>0</v>
      </c>
    </row>
    <row r="115" spans="1:27" ht="85.5" x14ac:dyDescent="0.2">
      <c r="A115" s="22">
        <v>8</v>
      </c>
      <c r="B115" s="22" t="str">
        <f>Source!E35</f>
        <v>8</v>
      </c>
      <c r="C115" s="23" t="str">
        <f>Source!F35</f>
        <v>4.8-79-4</v>
      </c>
      <c r="D115" s="23" t="s">
        <v>65</v>
      </c>
      <c r="E115" s="24" t="str">
        <f>Source!H35</f>
        <v>100 м</v>
      </c>
      <c r="F115" s="10">
        <f>Source!I35</f>
        <v>0.32</v>
      </c>
      <c r="G115" s="26"/>
      <c r="H115" s="25"/>
      <c r="I115" s="10"/>
      <c r="J115" s="27"/>
      <c r="K115" s="10"/>
      <c r="L115" s="27"/>
      <c r="Q115">
        <f>ROUND((Source!DN35/100)*ROUND((ROUND((Source!AF35*Source!AV35*Source!I35),2)),2), 2)</f>
        <v>50.22</v>
      </c>
      <c r="R115">
        <f>Source!X35</f>
        <v>841.86</v>
      </c>
      <c r="S115">
        <f>ROUND((Source!DO35/100)*ROUND((ROUND((Source!AF35*Source!AV35*Source!I35),2)),2), 2)</f>
        <v>29.51</v>
      </c>
      <c r="T115">
        <f>Source!Y35</f>
        <v>448.26</v>
      </c>
      <c r="U115">
        <f>ROUND((175/100)*ROUND((ROUND((Source!AE35*Source!AV35*Source!I35),2)),2), 2)</f>
        <v>30.99</v>
      </c>
      <c r="V115">
        <f>ROUND((157/100)*ROUND(ROUND((ROUND((Source!AE35*Source!AV35*Source!I35),2)*Source!BS35),2), 2), 2)</f>
        <v>690.11</v>
      </c>
    </row>
    <row r="116" spans="1:27" x14ac:dyDescent="0.2">
      <c r="D116" s="31" t="str">
        <f>"Объем: "&amp;Source!I35&amp;"=32/"&amp;"100"</f>
        <v>Объем: 0,32=32/100</v>
      </c>
    </row>
    <row r="117" spans="1:27" ht="28.5" x14ac:dyDescent="0.2">
      <c r="A117" s="22"/>
      <c r="B117" s="22"/>
      <c r="C117" s="23"/>
      <c r="D117" s="23" t="s">
        <v>270</v>
      </c>
      <c r="E117" s="24"/>
      <c r="F117" s="10"/>
      <c r="G117" s="26">
        <f>Source!AO35</f>
        <v>268.79000000000002</v>
      </c>
      <c r="H117" s="25" t="str">
        <f>Source!DG35</f>
        <v>)*0,4)*1,2</v>
      </c>
      <c r="I117" s="10">
        <f>Source!AV35</f>
        <v>1.0669999999999999</v>
      </c>
      <c r="J117" s="27">
        <f>ROUND((ROUND((Source!AF35*Source!AV35*Source!I35),2)),2)</f>
        <v>44.05</v>
      </c>
      <c r="K117" s="10">
        <f>IF(Source!BA35&lt;&gt; 0, Source!BA35, 1)</f>
        <v>24.82</v>
      </c>
      <c r="L117" s="27">
        <f>Source!S35</f>
        <v>1093.32</v>
      </c>
      <c r="W117">
        <f>J117</f>
        <v>44.05</v>
      </c>
    </row>
    <row r="118" spans="1:27" ht="28.5" x14ac:dyDescent="0.2">
      <c r="A118" s="22"/>
      <c r="B118" s="22"/>
      <c r="C118" s="23"/>
      <c r="D118" s="23" t="s">
        <v>271</v>
      </c>
      <c r="E118" s="24"/>
      <c r="F118" s="10"/>
      <c r="G118" s="26">
        <f>Source!AM35</f>
        <v>652.54999999999995</v>
      </c>
      <c r="H118" s="25" t="str">
        <f>Source!DE35</f>
        <v>)*0,4)*1,2</v>
      </c>
      <c r="I118" s="10">
        <f>Source!AV35</f>
        <v>1.0669999999999999</v>
      </c>
      <c r="J118" s="27">
        <f>(ROUND((ROUND(((((Source!ET35*0.4)*1.2))*Source!AV35*Source!I35),2)),2)+ROUND((ROUND(((Source!AE35-(((Source!EU35*0.4)*1.2)))*Source!AV35*Source!I35),2)),2))</f>
        <v>106.95</v>
      </c>
      <c r="K118" s="10">
        <f>IF(Source!BB35&lt;&gt; 0, Source!BB35, 1)</f>
        <v>5.69</v>
      </c>
      <c r="L118" s="27">
        <f>Source!Q35</f>
        <v>608.54999999999995</v>
      </c>
    </row>
    <row r="119" spans="1:27" ht="28.5" x14ac:dyDescent="0.2">
      <c r="A119" s="22"/>
      <c r="B119" s="22"/>
      <c r="C119" s="23"/>
      <c r="D119" s="23" t="s">
        <v>272</v>
      </c>
      <c r="E119" s="24"/>
      <c r="F119" s="10"/>
      <c r="G119" s="26">
        <f>Source!AN35</f>
        <v>108.03</v>
      </c>
      <c r="H119" s="25" t="str">
        <f>Source!DF35</f>
        <v>)*0,4)*1,2</v>
      </c>
      <c r="I119" s="10">
        <f>Source!AV35</f>
        <v>1.0669999999999999</v>
      </c>
      <c r="J119" s="28">
        <f>ROUND((ROUND((Source!AE35*Source!AV35*Source!I35),2)),2)</f>
        <v>17.71</v>
      </c>
      <c r="K119" s="10">
        <f>IF(Source!BS35&lt;&gt; 0, Source!BS35, 1)</f>
        <v>24.82</v>
      </c>
      <c r="L119" s="28">
        <f>Source!R35</f>
        <v>439.56</v>
      </c>
      <c r="W119">
        <f>J119</f>
        <v>17.71</v>
      </c>
    </row>
    <row r="120" spans="1:27" ht="14.25" x14ac:dyDescent="0.2">
      <c r="A120" s="22"/>
      <c r="B120" s="22"/>
      <c r="C120" s="23"/>
      <c r="D120" s="23" t="s">
        <v>274</v>
      </c>
      <c r="E120" s="24" t="s">
        <v>275</v>
      </c>
      <c r="F120" s="10">
        <f>Source!DN35</f>
        <v>114</v>
      </c>
      <c r="G120" s="26"/>
      <c r="H120" s="25"/>
      <c r="I120" s="10"/>
      <c r="J120" s="27">
        <f>SUM(Q115:Q119)</f>
        <v>50.22</v>
      </c>
      <c r="K120" s="10">
        <f>Source!BZ35</f>
        <v>77</v>
      </c>
      <c r="L120" s="27">
        <f>SUM(R115:R119)</f>
        <v>841.86</v>
      </c>
    </row>
    <row r="121" spans="1:27" ht="14.25" x14ac:dyDescent="0.2">
      <c r="A121" s="22"/>
      <c r="B121" s="22"/>
      <c r="C121" s="23"/>
      <c r="D121" s="23" t="s">
        <v>276</v>
      </c>
      <c r="E121" s="24" t="s">
        <v>275</v>
      </c>
      <c r="F121" s="10">
        <f>Source!DO35</f>
        <v>67</v>
      </c>
      <c r="G121" s="26"/>
      <c r="H121" s="25"/>
      <c r="I121" s="10"/>
      <c r="J121" s="27">
        <f>SUM(S115:S120)</f>
        <v>29.51</v>
      </c>
      <c r="K121" s="10">
        <f>Source!CA35</f>
        <v>41</v>
      </c>
      <c r="L121" s="27">
        <f>SUM(T115:T120)</f>
        <v>448.26</v>
      </c>
    </row>
    <row r="122" spans="1:27" ht="14.25" x14ac:dyDescent="0.2">
      <c r="A122" s="22"/>
      <c r="B122" s="22"/>
      <c r="C122" s="23"/>
      <c r="D122" s="23" t="s">
        <v>277</v>
      </c>
      <c r="E122" s="24" t="s">
        <v>275</v>
      </c>
      <c r="F122" s="10">
        <f>175</f>
        <v>175</v>
      </c>
      <c r="G122" s="26"/>
      <c r="H122" s="25"/>
      <c r="I122" s="10"/>
      <c r="J122" s="27">
        <f>SUM(U115:U121)</f>
        <v>30.99</v>
      </c>
      <c r="K122" s="10">
        <f>157</f>
        <v>157</v>
      </c>
      <c r="L122" s="27">
        <f>SUM(V115:V121)</f>
        <v>690.11</v>
      </c>
    </row>
    <row r="123" spans="1:27" ht="28.5" x14ac:dyDescent="0.2">
      <c r="A123" s="22"/>
      <c r="B123" s="22"/>
      <c r="C123" s="23"/>
      <c r="D123" s="23" t="s">
        <v>278</v>
      </c>
      <c r="E123" s="24" t="s">
        <v>279</v>
      </c>
      <c r="F123" s="10">
        <f>Source!AQ35</f>
        <v>21.8</v>
      </c>
      <c r="G123" s="26"/>
      <c r="H123" s="25" t="str">
        <f>Source!DI35</f>
        <v>)*0,4)*1,2</v>
      </c>
      <c r="I123" s="10">
        <f>Source!AV35</f>
        <v>1.0669999999999999</v>
      </c>
      <c r="J123" s="27">
        <f>Source!U35</f>
        <v>3.5728281599999998</v>
      </c>
      <c r="K123" s="10"/>
      <c r="L123" s="27"/>
    </row>
    <row r="124" spans="1:27" ht="15" x14ac:dyDescent="0.25">
      <c r="A124" s="30"/>
      <c r="B124" s="30"/>
      <c r="C124" s="30"/>
      <c r="D124" s="30"/>
      <c r="E124" s="30"/>
      <c r="F124" s="30"/>
      <c r="G124" s="30"/>
      <c r="H124" s="30"/>
      <c r="I124" s="54">
        <f>J117+J118+J120+J121+J122</f>
        <v>261.71999999999997</v>
      </c>
      <c r="J124" s="54"/>
      <c r="K124" s="54">
        <f>L117+L118+L120+L121+L122</f>
        <v>3682.1</v>
      </c>
      <c r="L124" s="54"/>
      <c r="O124" s="29">
        <f>J117+J118+J120+J121+J122</f>
        <v>261.71999999999997</v>
      </c>
      <c r="P124" s="29">
        <f>L117+L118+L120+L121+L122</f>
        <v>3682.1</v>
      </c>
      <c r="X124">
        <f>IF(Source!BI35&lt;=1,J117+J118+J120+J121+J122-0, 0)</f>
        <v>0</v>
      </c>
      <c r="Y124">
        <f>IF(Source!BI35=2,J117+J118+J120+J121+J122-0, 0)</f>
        <v>261.71999999999997</v>
      </c>
      <c r="Z124">
        <f>IF(Source!BI35=3,J117+J118+J120+J121+J122-0, 0)</f>
        <v>0</v>
      </c>
      <c r="AA124">
        <f>IF(Source!BI35=4,J117+J118+J120+J121+J122,0)</f>
        <v>0</v>
      </c>
    </row>
    <row r="125" spans="1:27" ht="57" x14ac:dyDescent="0.2">
      <c r="A125" s="22">
        <v>9</v>
      </c>
      <c r="B125" s="22" t="str">
        <f>Source!E36</f>
        <v>9</v>
      </c>
      <c r="C125" s="23" t="str">
        <f>Source!F36</f>
        <v>4.8-78-1</v>
      </c>
      <c r="D125" s="23" t="s">
        <v>68</v>
      </c>
      <c r="E125" s="24" t="str">
        <f>Source!H36</f>
        <v>100 м</v>
      </c>
      <c r="F125" s="10">
        <f>Source!I36</f>
        <v>1.04</v>
      </c>
      <c r="G125" s="26"/>
      <c r="H125" s="25"/>
      <c r="I125" s="10"/>
      <c r="J125" s="27"/>
      <c r="K125" s="10"/>
      <c r="L125" s="27"/>
      <c r="Q125">
        <f>ROUND((Source!DN36/100)*ROUND((ROUND((Source!AF36*Source!AV36*Source!I36),2)),2), 2)</f>
        <v>237.71</v>
      </c>
      <c r="R125">
        <f>Source!X36</f>
        <v>3985.11</v>
      </c>
      <c r="S125">
        <f>ROUND((Source!DO36/100)*ROUND((ROUND((Source!AF36*Source!AV36*Source!I36),2)),2), 2)</f>
        <v>139.71</v>
      </c>
      <c r="T125">
        <f>Source!Y36</f>
        <v>2121.94</v>
      </c>
      <c r="U125">
        <f>ROUND((175/100)*ROUND((ROUND((Source!AE36*Source!AV36*Source!I36),2)),2), 2)</f>
        <v>369.29</v>
      </c>
      <c r="V125">
        <f>ROUND((157/100)*ROUND(ROUND((ROUND((Source!AE36*Source!AV36*Source!I36),2)*Source!BS36),2), 2), 2)</f>
        <v>8222.91</v>
      </c>
    </row>
    <row r="126" spans="1:27" x14ac:dyDescent="0.2">
      <c r="D126" s="31" t="str">
        <f>"Объем: "&amp;Source!I36&amp;"=104/"&amp;"100"</f>
        <v>Объем: 1,04=104/100</v>
      </c>
    </row>
    <row r="127" spans="1:27" ht="14.25" x14ac:dyDescent="0.2">
      <c r="A127" s="22"/>
      <c r="B127" s="22"/>
      <c r="C127" s="23"/>
      <c r="D127" s="23" t="s">
        <v>270</v>
      </c>
      <c r="E127" s="24"/>
      <c r="F127" s="10"/>
      <c r="G127" s="26">
        <f>Source!AO36</f>
        <v>156.59</v>
      </c>
      <c r="H127" s="25" t="str">
        <f>Source!DG36</f>
        <v>)*1,2</v>
      </c>
      <c r="I127" s="10">
        <f>Source!AV36</f>
        <v>1.0669999999999999</v>
      </c>
      <c r="J127" s="27">
        <f>ROUND((ROUND((Source!AF36*Source!AV36*Source!I36),2)),2)</f>
        <v>208.52</v>
      </c>
      <c r="K127" s="10">
        <f>IF(Source!BA36&lt;&gt; 0, Source!BA36, 1)</f>
        <v>24.82</v>
      </c>
      <c r="L127" s="27">
        <f>Source!S36</f>
        <v>5175.47</v>
      </c>
      <c r="W127">
        <f>J127</f>
        <v>208.52</v>
      </c>
    </row>
    <row r="128" spans="1:27" ht="14.25" x14ac:dyDescent="0.2">
      <c r="A128" s="22"/>
      <c r="B128" s="22"/>
      <c r="C128" s="23"/>
      <c r="D128" s="23" t="s">
        <v>271</v>
      </c>
      <c r="E128" s="24"/>
      <c r="F128" s="10"/>
      <c r="G128" s="26">
        <f>Source!AM36</f>
        <v>828.39</v>
      </c>
      <c r="H128" s="25" t="str">
        <f>Source!DE36</f>
        <v>)*1,2</v>
      </c>
      <c r="I128" s="10">
        <f>Source!AV36</f>
        <v>1.0669999999999999</v>
      </c>
      <c r="J128" s="27">
        <f>(ROUND((ROUND((((Source!ET36*1.2))*Source!AV36*Source!I36),2)),2)+ROUND((ROUND(((Source!AE36-((Source!EU36*1.2)))*Source!AV36*Source!I36),2)),2))</f>
        <v>1103.0999999999999</v>
      </c>
      <c r="K128" s="10">
        <f>IF(Source!BB36&lt;&gt; 0, Source!BB36, 1)</f>
        <v>7.48</v>
      </c>
      <c r="L128" s="27">
        <f>Source!Q36</f>
        <v>8251.19</v>
      </c>
    </row>
    <row r="129" spans="1:27" ht="14.25" x14ac:dyDescent="0.2">
      <c r="A129" s="22"/>
      <c r="B129" s="22"/>
      <c r="C129" s="23"/>
      <c r="D129" s="23" t="s">
        <v>272</v>
      </c>
      <c r="E129" s="24"/>
      <c r="F129" s="10"/>
      <c r="G129" s="26">
        <f>Source!AN36</f>
        <v>158.47</v>
      </c>
      <c r="H129" s="25" t="str">
        <f>Source!DF36</f>
        <v>)*1,2</v>
      </c>
      <c r="I129" s="10">
        <f>Source!AV36</f>
        <v>1.0669999999999999</v>
      </c>
      <c r="J129" s="28">
        <f>ROUND((ROUND((Source!AE36*Source!AV36*Source!I36),2)),2)</f>
        <v>211.02</v>
      </c>
      <c r="K129" s="10">
        <f>IF(Source!BS36&lt;&gt; 0, Source!BS36, 1)</f>
        <v>24.82</v>
      </c>
      <c r="L129" s="28">
        <f>Source!R36</f>
        <v>5237.5200000000004</v>
      </c>
      <c r="W129">
        <f>J129</f>
        <v>211.02</v>
      </c>
    </row>
    <row r="130" spans="1:27" ht="14.25" x14ac:dyDescent="0.2">
      <c r="A130" s="22"/>
      <c r="B130" s="22"/>
      <c r="C130" s="23"/>
      <c r="D130" s="23" t="s">
        <v>273</v>
      </c>
      <c r="E130" s="24"/>
      <c r="F130" s="10"/>
      <c r="G130" s="26">
        <f>Source!AL36</f>
        <v>168</v>
      </c>
      <c r="H130" s="25" t="str">
        <f>Source!DD36</f>
        <v/>
      </c>
      <c r="I130" s="10">
        <f>Source!AW36</f>
        <v>1.081</v>
      </c>
      <c r="J130" s="27">
        <f>ROUND((ROUND((Source!AC36*Source!AW36*Source!I36),2)),2)</f>
        <v>188.87</v>
      </c>
      <c r="K130" s="10">
        <f>IF(Source!BC36&lt;&gt; 0, Source!BC36, 1)</f>
        <v>5.29</v>
      </c>
      <c r="L130" s="27">
        <f>Source!P36</f>
        <v>999.12</v>
      </c>
    </row>
    <row r="131" spans="1:27" ht="14.25" x14ac:dyDescent="0.2">
      <c r="A131" s="22"/>
      <c r="B131" s="22"/>
      <c r="C131" s="23"/>
      <c r="D131" s="23" t="s">
        <v>274</v>
      </c>
      <c r="E131" s="24" t="s">
        <v>275</v>
      </c>
      <c r="F131" s="10">
        <f>Source!DN36</f>
        <v>114</v>
      </c>
      <c r="G131" s="26"/>
      <c r="H131" s="25"/>
      <c r="I131" s="10"/>
      <c r="J131" s="27">
        <f>SUM(Q125:Q130)</f>
        <v>237.71</v>
      </c>
      <c r="K131" s="10">
        <f>Source!BZ36</f>
        <v>77</v>
      </c>
      <c r="L131" s="27">
        <f>SUM(R125:R130)</f>
        <v>3985.11</v>
      </c>
    </row>
    <row r="132" spans="1:27" ht="14.25" x14ac:dyDescent="0.2">
      <c r="A132" s="22"/>
      <c r="B132" s="22"/>
      <c r="C132" s="23"/>
      <c r="D132" s="23" t="s">
        <v>276</v>
      </c>
      <c r="E132" s="24" t="s">
        <v>275</v>
      </c>
      <c r="F132" s="10">
        <f>Source!DO36</f>
        <v>67</v>
      </c>
      <c r="G132" s="26"/>
      <c r="H132" s="25"/>
      <c r="I132" s="10"/>
      <c r="J132" s="27">
        <f>SUM(S125:S131)</f>
        <v>139.71</v>
      </c>
      <c r="K132" s="10">
        <f>Source!CA36</f>
        <v>41</v>
      </c>
      <c r="L132" s="27">
        <f>SUM(T125:T131)</f>
        <v>2121.94</v>
      </c>
    </row>
    <row r="133" spans="1:27" ht="14.25" x14ac:dyDescent="0.2">
      <c r="A133" s="22"/>
      <c r="B133" s="22"/>
      <c r="C133" s="23"/>
      <c r="D133" s="23" t="s">
        <v>277</v>
      </c>
      <c r="E133" s="24" t="s">
        <v>275</v>
      </c>
      <c r="F133" s="10">
        <f>175</f>
        <v>175</v>
      </c>
      <c r="G133" s="26"/>
      <c r="H133" s="25"/>
      <c r="I133" s="10"/>
      <c r="J133" s="27">
        <f>SUM(U125:U132)</f>
        <v>369.29</v>
      </c>
      <c r="K133" s="10">
        <f>157</f>
        <v>157</v>
      </c>
      <c r="L133" s="27">
        <f>SUM(V125:V132)</f>
        <v>8222.91</v>
      </c>
    </row>
    <row r="134" spans="1:27" ht="14.25" x14ac:dyDescent="0.2">
      <c r="A134" s="22"/>
      <c r="B134" s="22"/>
      <c r="C134" s="23"/>
      <c r="D134" s="23" t="s">
        <v>278</v>
      </c>
      <c r="E134" s="24" t="s">
        <v>279</v>
      </c>
      <c r="F134" s="10">
        <f>Source!AQ36</f>
        <v>12.7</v>
      </c>
      <c r="G134" s="26"/>
      <c r="H134" s="25" t="str">
        <f>Source!DI36</f>
        <v>)*1,2</v>
      </c>
      <c r="I134" s="10">
        <f>Source!AV36</f>
        <v>1.0669999999999999</v>
      </c>
      <c r="J134" s="27">
        <f>Source!U36</f>
        <v>16.911523199999998</v>
      </c>
      <c r="K134" s="10"/>
      <c r="L134" s="27"/>
    </row>
    <row r="135" spans="1:27" ht="15" x14ac:dyDescent="0.25">
      <c r="A135" s="30"/>
      <c r="B135" s="30"/>
      <c r="C135" s="30"/>
      <c r="D135" s="30"/>
      <c r="E135" s="30"/>
      <c r="F135" s="30"/>
      <c r="G135" s="30"/>
      <c r="H135" s="30"/>
      <c r="I135" s="54">
        <f>J127+J128+J130+J131+J132+J133</f>
        <v>2247.1999999999998</v>
      </c>
      <c r="J135" s="54"/>
      <c r="K135" s="54">
        <f>L127+L128+L130+L131+L132+L133</f>
        <v>28755.739999999998</v>
      </c>
      <c r="L135" s="54"/>
      <c r="O135" s="29">
        <f>J127+J128+J130+J131+J132+J133</f>
        <v>2247.1999999999998</v>
      </c>
      <c r="P135" s="29">
        <f>L127+L128+L130+L131+L132+L133</f>
        <v>28755.739999999998</v>
      </c>
      <c r="X135">
        <f>IF(Source!BI36&lt;=1,J127+J128+J130+J131+J132+J133-0, 0)</f>
        <v>0</v>
      </c>
      <c r="Y135">
        <f>IF(Source!BI36=2,J127+J128+J130+J131+J132+J133-0, 0)</f>
        <v>2247.1999999999998</v>
      </c>
      <c r="Z135">
        <f>IF(Source!BI36=3,J127+J128+J130+J131+J132+J133-0, 0)</f>
        <v>0</v>
      </c>
      <c r="AA135">
        <f>IF(Source!BI36=4,J127+J128+J130+J131+J132+J133,0)</f>
        <v>0</v>
      </c>
    </row>
    <row r="136" spans="1:27" ht="42.75" x14ac:dyDescent="0.2">
      <c r="A136" s="22">
        <v>10</v>
      </c>
      <c r="B136" s="22" t="str">
        <f>Source!E37</f>
        <v>10</v>
      </c>
      <c r="C136" s="23" t="str">
        <f>Source!F37</f>
        <v>4.8-76-1</v>
      </c>
      <c r="D136" s="23" t="s">
        <v>72</v>
      </c>
      <c r="E136" s="24" t="str">
        <f>Source!H37</f>
        <v>100 шт.</v>
      </c>
      <c r="F136" s="10">
        <f>Source!I37</f>
        <v>0.15</v>
      </c>
      <c r="G136" s="26"/>
      <c r="H136" s="25"/>
      <c r="I136" s="10"/>
      <c r="J136" s="27"/>
      <c r="K136" s="10"/>
      <c r="L136" s="27"/>
      <c r="Q136">
        <f>ROUND((Source!DN37/100)*ROUND((ROUND((Source!AF37*Source!AV37*Source!I37),2)),2), 2)</f>
        <v>32.130000000000003</v>
      </c>
      <c r="R136">
        <f>Source!X37</f>
        <v>538.55999999999995</v>
      </c>
      <c r="S136">
        <f>ROUND((Source!DO37/100)*ROUND((ROUND((Source!AF37*Source!AV37*Source!I37),2)),2), 2)</f>
        <v>18.88</v>
      </c>
      <c r="T136">
        <f>Source!Y37</f>
        <v>286.77</v>
      </c>
      <c r="U136">
        <f>ROUND((175/100)*ROUND((ROUND((Source!AE37*Source!AV37*Source!I37),2)),2), 2)</f>
        <v>0</v>
      </c>
      <c r="V136">
        <f>ROUND((157/100)*ROUND(ROUND((ROUND((Source!AE37*Source!AV37*Source!I37),2)*Source!BS37),2), 2), 2)</f>
        <v>0</v>
      </c>
    </row>
    <row r="137" spans="1:27" x14ac:dyDescent="0.2">
      <c r="D137" s="31" t="str">
        <f>"Объем: "&amp;Source!I37&amp;"=(15)/"&amp;"100"</f>
        <v>Объем: 0,15=(15)/100</v>
      </c>
    </row>
    <row r="138" spans="1:27" ht="14.25" x14ac:dyDescent="0.2">
      <c r="A138" s="22"/>
      <c r="B138" s="22"/>
      <c r="C138" s="23"/>
      <c r="D138" s="23" t="s">
        <v>270</v>
      </c>
      <c r="E138" s="24"/>
      <c r="F138" s="10"/>
      <c r="G138" s="26">
        <f>Source!AO37</f>
        <v>146.72999999999999</v>
      </c>
      <c r="H138" s="25" t="str">
        <f>Source!DG37</f>
        <v>)*1,2</v>
      </c>
      <c r="I138" s="10">
        <f>Source!AV37</f>
        <v>1.0669999999999999</v>
      </c>
      <c r="J138" s="27">
        <f>ROUND((ROUND((Source!AF37*Source!AV37*Source!I37),2)),2)</f>
        <v>28.18</v>
      </c>
      <c r="K138" s="10">
        <f>IF(Source!BA37&lt;&gt; 0, Source!BA37, 1)</f>
        <v>24.82</v>
      </c>
      <c r="L138" s="27">
        <f>Source!S37</f>
        <v>699.43</v>
      </c>
      <c r="W138">
        <f>J138</f>
        <v>28.18</v>
      </c>
    </row>
    <row r="139" spans="1:27" ht="14.25" x14ac:dyDescent="0.2">
      <c r="A139" s="22"/>
      <c r="B139" s="22"/>
      <c r="C139" s="23"/>
      <c r="D139" s="23" t="s">
        <v>273</v>
      </c>
      <c r="E139" s="24"/>
      <c r="F139" s="10"/>
      <c r="G139" s="26">
        <f>Source!AL37</f>
        <v>1.26</v>
      </c>
      <c r="H139" s="25" t="str">
        <f>Source!DD37</f>
        <v/>
      </c>
      <c r="I139" s="10">
        <f>Source!AW37</f>
        <v>1.081</v>
      </c>
      <c r="J139" s="27">
        <f>ROUND((ROUND((Source!AC37*Source!AW37*Source!I37),2)),2)</f>
        <v>0.2</v>
      </c>
      <c r="K139" s="10">
        <f>IF(Source!BC37&lt;&gt; 0, Source!BC37, 1)</f>
        <v>5.29</v>
      </c>
      <c r="L139" s="27">
        <f>Source!P37</f>
        <v>1.06</v>
      </c>
    </row>
    <row r="140" spans="1:27" ht="14.25" x14ac:dyDescent="0.2">
      <c r="A140" s="22"/>
      <c r="B140" s="22"/>
      <c r="C140" s="23"/>
      <c r="D140" s="23" t="s">
        <v>274</v>
      </c>
      <c r="E140" s="24" t="s">
        <v>275</v>
      </c>
      <c r="F140" s="10">
        <f>Source!DN37</f>
        <v>114</v>
      </c>
      <c r="G140" s="26"/>
      <c r="H140" s="25"/>
      <c r="I140" s="10"/>
      <c r="J140" s="27">
        <f>SUM(Q136:Q139)</f>
        <v>32.130000000000003</v>
      </c>
      <c r="K140" s="10">
        <f>Source!BZ37</f>
        <v>77</v>
      </c>
      <c r="L140" s="27">
        <f>SUM(R136:R139)</f>
        <v>538.55999999999995</v>
      </c>
    </row>
    <row r="141" spans="1:27" ht="14.25" x14ac:dyDescent="0.2">
      <c r="A141" s="22"/>
      <c r="B141" s="22"/>
      <c r="C141" s="23"/>
      <c r="D141" s="23" t="s">
        <v>276</v>
      </c>
      <c r="E141" s="24" t="s">
        <v>275</v>
      </c>
      <c r="F141" s="10">
        <f>Source!DO37</f>
        <v>67</v>
      </c>
      <c r="G141" s="26"/>
      <c r="H141" s="25"/>
      <c r="I141" s="10"/>
      <c r="J141" s="27">
        <f>SUM(S136:S140)</f>
        <v>18.88</v>
      </c>
      <c r="K141" s="10">
        <f>Source!CA37</f>
        <v>41</v>
      </c>
      <c r="L141" s="27">
        <f>SUM(T136:T140)</f>
        <v>286.77</v>
      </c>
    </row>
    <row r="142" spans="1:27" ht="14.25" x14ac:dyDescent="0.2">
      <c r="A142" s="22"/>
      <c r="B142" s="22"/>
      <c r="C142" s="23"/>
      <c r="D142" s="23" t="s">
        <v>278</v>
      </c>
      <c r="E142" s="24" t="s">
        <v>279</v>
      </c>
      <c r="F142" s="10">
        <f>Source!AQ37</f>
        <v>11.9</v>
      </c>
      <c r="G142" s="26"/>
      <c r="H142" s="25" t="str">
        <f>Source!DI37</f>
        <v>)*1,2</v>
      </c>
      <c r="I142" s="10">
        <f>Source!AV37</f>
        <v>1.0669999999999999</v>
      </c>
      <c r="J142" s="27">
        <f>Source!U37</f>
        <v>2.2855139999999996</v>
      </c>
      <c r="K142" s="10"/>
      <c r="L142" s="27"/>
    </row>
    <row r="143" spans="1:27" ht="15" x14ac:dyDescent="0.25">
      <c r="A143" s="30"/>
      <c r="B143" s="30"/>
      <c r="C143" s="30"/>
      <c r="D143" s="30"/>
      <c r="E143" s="30"/>
      <c r="F143" s="30"/>
      <c r="G143" s="30"/>
      <c r="H143" s="30"/>
      <c r="I143" s="54">
        <f>J138+J139+J140+J141</f>
        <v>79.39</v>
      </c>
      <c r="J143" s="54"/>
      <c r="K143" s="54">
        <f>L138+L139+L140+L141</f>
        <v>1525.8199999999997</v>
      </c>
      <c r="L143" s="54"/>
      <c r="O143" s="29">
        <f>J138+J139+J140+J141</f>
        <v>79.39</v>
      </c>
      <c r="P143" s="29">
        <f>L138+L139+L140+L141</f>
        <v>1525.8199999999997</v>
      </c>
      <c r="X143">
        <f>IF(Source!BI37&lt;=1,J138+J139+J140+J141-0, 0)</f>
        <v>0</v>
      </c>
      <c r="Y143">
        <f>IF(Source!BI37=2,J138+J139+J140+J141-0, 0)</f>
        <v>79.39</v>
      </c>
      <c r="Z143">
        <f>IF(Source!BI37=3,J138+J139+J140+J141-0, 0)</f>
        <v>0</v>
      </c>
      <c r="AA143">
        <f>IF(Source!BI37=4,J138+J139+J140+J141,0)</f>
        <v>0</v>
      </c>
    </row>
    <row r="144" spans="1:27" ht="99.75" x14ac:dyDescent="0.2">
      <c r="A144" s="22">
        <v>11</v>
      </c>
      <c r="B144" s="22" t="str">
        <f>Source!E38</f>
        <v>11</v>
      </c>
      <c r="C144" s="23" t="str">
        <f>Source!F38</f>
        <v>4.8-316-1</v>
      </c>
      <c r="D144" s="23" t="s">
        <v>77</v>
      </c>
      <c r="E144" s="24" t="str">
        <f>Source!H38</f>
        <v>шт.</v>
      </c>
      <c r="F144" s="10">
        <f>Source!I38</f>
        <v>17</v>
      </c>
      <c r="G144" s="26"/>
      <c r="H144" s="25"/>
      <c r="I144" s="10"/>
      <c r="J144" s="27"/>
      <c r="K144" s="10"/>
      <c r="L144" s="27"/>
      <c r="Q144">
        <f>ROUND((Source!DN38/100)*ROUND((ROUND((Source!AF38*Source!AV38*Source!I38),2)),2), 2)</f>
        <v>904.48</v>
      </c>
      <c r="R144">
        <f>Source!X38</f>
        <v>15162.99</v>
      </c>
      <c r="S144">
        <f>ROUND((Source!DO38/100)*ROUND((ROUND((Source!AF38*Source!AV38*Source!I38),2)),2), 2)</f>
        <v>531.58000000000004</v>
      </c>
      <c r="T144">
        <f>Source!Y38</f>
        <v>8073.8</v>
      </c>
      <c r="U144">
        <f>ROUND((175/100)*ROUND((ROUND((Source!AE38*Source!AV38*Source!I38),2)),2), 2)</f>
        <v>6.48</v>
      </c>
      <c r="V144">
        <f>ROUND((157/100)*ROUND(ROUND((ROUND((Source!AE38*Source!AV38*Source!I38),2)*Source!BS38),2), 2), 2)</f>
        <v>144.16999999999999</v>
      </c>
    </row>
    <row r="145" spans="1:27" ht="14.25" x14ac:dyDescent="0.2">
      <c r="A145" s="22"/>
      <c r="B145" s="22"/>
      <c r="C145" s="23"/>
      <c r="D145" s="23" t="s">
        <v>270</v>
      </c>
      <c r="E145" s="24"/>
      <c r="F145" s="10"/>
      <c r="G145" s="26">
        <f>Source!AO38</f>
        <v>36.450000000000003</v>
      </c>
      <c r="H145" s="25" t="str">
        <f>Source!DG38</f>
        <v>)*1,2</v>
      </c>
      <c r="I145" s="10">
        <f>Source!AV38</f>
        <v>1.0669999999999999</v>
      </c>
      <c r="J145" s="27">
        <f>ROUND((ROUND((Source!AF38*Source!AV38*Source!I38),2)),2)</f>
        <v>793.4</v>
      </c>
      <c r="K145" s="10">
        <f>IF(Source!BA38&lt;&gt; 0, Source!BA38, 1)</f>
        <v>24.82</v>
      </c>
      <c r="L145" s="27">
        <f>Source!S38</f>
        <v>19692.189999999999</v>
      </c>
      <c r="W145">
        <f>J145</f>
        <v>793.4</v>
      </c>
    </row>
    <row r="146" spans="1:27" ht="14.25" x14ac:dyDescent="0.2">
      <c r="A146" s="22"/>
      <c r="B146" s="22"/>
      <c r="C146" s="23"/>
      <c r="D146" s="23" t="s">
        <v>271</v>
      </c>
      <c r="E146" s="24"/>
      <c r="F146" s="10"/>
      <c r="G146" s="26">
        <f>Source!AM38</f>
        <v>1.18</v>
      </c>
      <c r="H146" s="25" t="str">
        <f>Source!DE38</f>
        <v>)*1,2</v>
      </c>
      <c r="I146" s="10">
        <f>Source!AV38</f>
        <v>1.0669999999999999</v>
      </c>
      <c r="J146" s="27">
        <f>(ROUND((ROUND((((Source!ET38*1.2))*Source!AV38*Source!I38),2)),2)+ROUND((ROUND(((Source!AE38-((Source!EU38*1.2)))*Source!AV38*Source!I38),2)),2))</f>
        <v>25.68</v>
      </c>
      <c r="K146" s="10">
        <f>IF(Source!BB38&lt;&gt; 0, Source!BB38, 1)</f>
        <v>7.86</v>
      </c>
      <c r="L146" s="27">
        <f>Source!Q38</f>
        <v>201.84</v>
      </c>
    </row>
    <row r="147" spans="1:27" ht="14.25" x14ac:dyDescent="0.2">
      <c r="A147" s="22"/>
      <c r="B147" s="22"/>
      <c r="C147" s="23"/>
      <c r="D147" s="23" t="s">
        <v>272</v>
      </c>
      <c r="E147" s="24"/>
      <c r="F147" s="10"/>
      <c r="G147" s="26">
        <f>Source!AN38</f>
        <v>0.17</v>
      </c>
      <c r="H147" s="25" t="str">
        <f>Source!DF38</f>
        <v>)*1,2</v>
      </c>
      <c r="I147" s="10">
        <f>Source!AV38</f>
        <v>1.0669999999999999</v>
      </c>
      <c r="J147" s="28">
        <f>ROUND((ROUND((Source!AE38*Source!AV38*Source!I38),2)),2)</f>
        <v>3.7</v>
      </c>
      <c r="K147" s="10">
        <f>IF(Source!BS38&lt;&gt; 0, Source!BS38, 1)</f>
        <v>24.82</v>
      </c>
      <c r="L147" s="28">
        <f>Source!R38</f>
        <v>91.83</v>
      </c>
      <c r="W147">
        <f>J147</f>
        <v>3.7</v>
      </c>
    </row>
    <row r="148" spans="1:27" ht="14.25" x14ac:dyDescent="0.2">
      <c r="A148" s="22"/>
      <c r="B148" s="22"/>
      <c r="C148" s="23"/>
      <c r="D148" s="23" t="s">
        <v>273</v>
      </c>
      <c r="E148" s="24"/>
      <c r="F148" s="10"/>
      <c r="G148" s="26">
        <f>Source!AL38</f>
        <v>7.53</v>
      </c>
      <c r="H148" s="25" t="str">
        <f>Source!DD38</f>
        <v/>
      </c>
      <c r="I148" s="10">
        <f>Source!AW38</f>
        <v>1.028</v>
      </c>
      <c r="J148" s="27">
        <f>ROUND((ROUND((Source!AC38*Source!AW38*Source!I38),2)),2)</f>
        <v>131.59</v>
      </c>
      <c r="K148" s="10">
        <f>IF(Source!BC38&lt;&gt; 0, Source!BC38, 1)</f>
        <v>7.77</v>
      </c>
      <c r="L148" s="27">
        <f>Source!P38</f>
        <v>1022.45</v>
      </c>
    </row>
    <row r="149" spans="1:27" ht="14.25" x14ac:dyDescent="0.2">
      <c r="A149" s="22"/>
      <c r="B149" s="22"/>
      <c r="C149" s="23"/>
      <c r="D149" s="23" t="s">
        <v>274</v>
      </c>
      <c r="E149" s="24" t="s">
        <v>275</v>
      </c>
      <c r="F149" s="10">
        <f>Source!DN38</f>
        <v>114</v>
      </c>
      <c r="G149" s="26"/>
      <c r="H149" s="25"/>
      <c r="I149" s="10"/>
      <c r="J149" s="27">
        <f>SUM(Q144:Q148)</f>
        <v>904.48</v>
      </c>
      <c r="K149" s="10">
        <f>Source!BZ38</f>
        <v>77</v>
      </c>
      <c r="L149" s="27">
        <f>SUM(R144:R148)</f>
        <v>15162.99</v>
      </c>
    </row>
    <row r="150" spans="1:27" ht="14.25" x14ac:dyDescent="0.2">
      <c r="A150" s="22"/>
      <c r="B150" s="22"/>
      <c r="C150" s="23"/>
      <c r="D150" s="23" t="s">
        <v>276</v>
      </c>
      <c r="E150" s="24" t="s">
        <v>275</v>
      </c>
      <c r="F150" s="10">
        <f>Source!DO38</f>
        <v>67</v>
      </c>
      <c r="G150" s="26"/>
      <c r="H150" s="25"/>
      <c r="I150" s="10"/>
      <c r="J150" s="27">
        <f>SUM(S144:S149)</f>
        <v>531.58000000000004</v>
      </c>
      <c r="K150" s="10">
        <f>Source!CA38</f>
        <v>41</v>
      </c>
      <c r="L150" s="27">
        <f>SUM(T144:T149)</f>
        <v>8073.8</v>
      </c>
    </row>
    <row r="151" spans="1:27" ht="14.25" x14ac:dyDescent="0.2">
      <c r="A151" s="22"/>
      <c r="B151" s="22"/>
      <c r="C151" s="23"/>
      <c r="D151" s="23" t="s">
        <v>277</v>
      </c>
      <c r="E151" s="24" t="s">
        <v>275</v>
      </c>
      <c r="F151" s="10">
        <f>175</f>
        <v>175</v>
      </c>
      <c r="G151" s="26"/>
      <c r="H151" s="25"/>
      <c r="I151" s="10"/>
      <c r="J151" s="27">
        <f>SUM(U144:U150)</f>
        <v>6.48</v>
      </c>
      <c r="K151" s="10">
        <f>157</f>
        <v>157</v>
      </c>
      <c r="L151" s="27">
        <f>SUM(V144:V150)</f>
        <v>144.16999999999999</v>
      </c>
    </row>
    <row r="152" spans="1:27" ht="14.25" x14ac:dyDescent="0.2">
      <c r="A152" s="22"/>
      <c r="B152" s="22"/>
      <c r="C152" s="23"/>
      <c r="D152" s="23" t="s">
        <v>278</v>
      </c>
      <c r="E152" s="24" t="s">
        <v>279</v>
      </c>
      <c r="F152" s="10">
        <f>Source!AQ38</f>
        <v>2.5099999999999998</v>
      </c>
      <c r="G152" s="26"/>
      <c r="H152" s="25" t="str">
        <f>Source!DI38</f>
        <v>)*1,2</v>
      </c>
      <c r="I152" s="10">
        <f>Source!AV38</f>
        <v>1.0669999999999999</v>
      </c>
      <c r="J152" s="27">
        <f>Source!U38</f>
        <v>54.634667999999984</v>
      </c>
      <c r="K152" s="10"/>
      <c r="L152" s="27"/>
    </row>
    <row r="153" spans="1:27" ht="15" x14ac:dyDescent="0.25">
      <c r="A153" s="30"/>
      <c r="B153" s="30"/>
      <c r="C153" s="30"/>
      <c r="D153" s="30"/>
      <c r="E153" s="30"/>
      <c r="F153" s="30"/>
      <c r="G153" s="30"/>
      <c r="H153" s="30"/>
      <c r="I153" s="54">
        <f>J145+J146+J148+J149+J150+J151</f>
        <v>2393.21</v>
      </c>
      <c r="J153" s="54"/>
      <c r="K153" s="54">
        <f>L145+L146+L148+L149+L150+L151</f>
        <v>44297.440000000002</v>
      </c>
      <c r="L153" s="54"/>
      <c r="O153" s="29">
        <f>J145+J146+J148+J149+J150+J151</f>
        <v>2393.21</v>
      </c>
      <c r="P153" s="29">
        <f>L145+L146+L148+L149+L150+L151</f>
        <v>44297.440000000002</v>
      </c>
      <c r="X153">
        <f>IF(Source!BI38&lt;=1,J145+J146+J148+J149+J150+J151-0, 0)</f>
        <v>0</v>
      </c>
      <c r="Y153">
        <f>IF(Source!BI38=2,J145+J146+J148+J149+J150+J151-0, 0)</f>
        <v>2393.21</v>
      </c>
      <c r="Z153">
        <f>IF(Source!BI38=3,J145+J146+J148+J149+J150+J151-0, 0)</f>
        <v>0</v>
      </c>
      <c r="AA153">
        <f>IF(Source!BI38=4,J145+J146+J148+J149+J150+J151,0)</f>
        <v>0</v>
      </c>
    </row>
    <row r="154" spans="1:27" ht="57" x14ac:dyDescent="0.2">
      <c r="A154" s="22">
        <v>12</v>
      </c>
      <c r="B154" s="22" t="str">
        <f>Source!E39</f>
        <v>12</v>
      </c>
      <c r="C154" s="23" t="str">
        <f>Source!F39</f>
        <v>4.8-98-4</v>
      </c>
      <c r="D154" s="23" t="s">
        <v>83</v>
      </c>
      <c r="E154" s="24" t="str">
        <f>Source!H39</f>
        <v>шт.</v>
      </c>
      <c r="F154" s="10">
        <f>Source!I39</f>
        <v>3</v>
      </c>
      <c r="G154" s="26"/>
      <c r="H154" s="25"/>
      <c r="I154" s="10"/>
      <c r="J154" s="27"/>
      <c r="K154" s="10"/>
      <c r="L154" s="27"/>
      <c r="Q154">
        <f>ROUND((Source!DN39/100)*ROUND((ROUND((Source!AF39*Source!AV39*Source!I39),2)),2), 2)</f>
        <v>561.52</v>
      </c>
      <c r="R154">
        <f>Source!X39</f>
        <v>9413.51</v>
      </c>
      <c r="S154">
        <f>ROUND((Source!DO39/100)*ROUND((ROUND((Source!AF39*Source!AV39*Source!I39),2)),2), 2)</f>
        <v>330.02</v>
      </c>
      <c r="T154">
        <f>Source!Y39</f>
        <v>5012.3900000000003</v>
      </c>
      <c r="U154">
        <f>ROUND((175/100)*ROUND((ROUND((Source!AE39*Source!AV39*Source!I39),2)),2), 2)</f>
        <v>1.35</v>
      </c>
      <c r="V154">
        <f>ROUND((157/100)*ROUND(ROUND((ROUND((Source!AE39*Source!AV39*Source!I39),2)*Source!BS39),2), 2), 2)</f>
        <v>30</v>
      </c>
    </row>
    <row r="155" spans="1:27" ht="14.25" x14ac:dyDescent="0.2">
      <c r="A155" s="22"/>
      <c r="B155" s="22"/>
      <c r="C155" s="23"/>
      <c r="D155" s="23" t="s">
        <v>270</v>
      </c>
      <c r="E155" s="24"/>
      <c r="F155" s="10"/>
      <c r="G155" s="26">
        <f>Source!AO39</f>
        <v>128.22999999999999</v>
      </c>
      <c r="H155" s="25" t="str">
        <f>Source!DG39</f>
        <v>)*1,2</v>
      </c>
      <c r="I155" s="10">
        <f>Source!AV39</f>
        <v>1.0669999999999999</v>
      </c>
      <c r="J155" s="27">
        <f>ROUND((ROUND((Source!AF39*Source!AV39*Source!I39),2)),2)</f>
        <v>492.56</v>
      </c>
      <c r="K155" s="10">
        <f>IF(Source!BA39&lt;&gt; 0, Source!BA39, 1)</f>
        <v>24.82</v>
      </c>
      <c r="L155" s="27">
        <f>Source!S39</f>
        <v>12225.34</v>
      </c>
      <c r="W155">
        <f>J155</f>
        <v>492.56</v>
      </c>
    </row>
    <row r="156" spans="1:27" ht="14.25" x14ac:dyDescent="0.2">
      <c r="A156" s="22"/>
      <c r="B156" s="22"/>
      <c r="C156" s="23"/>
      <c r="D156" s="23" t="s">
        <v>271</v>
      </c>
      <c r="E156" s="24"/>
      <c r="F156" s="10"/>
      <c r="G156" s="26">
        <f>Source!AM39</f>
        <v>0.85</v>
      </c>
      <c r="H156" s="25" t="str">
        <f>Source!DE39</f>
        <v>)*1,2</v>
      </c>
      <c r="I156" s="10">
        <f>Source!AV39</f>
        <v>1.0669999999999999</v>
      </c>
      <c r="J156" s="27">
        <f>(ROUND((ROUND((((Source!ET39*1.2))*Source!AV39*Source!I39),2)),2)+ROUND((ROUND(((Source!AE39-((Source!EU39*1.2)))*Source!AV39*Source!I39),2)),2))</f>
        <v>3.27</v>
      </c>
      <c r="K156" s="10">
        <f>IF(Source!BB39&lt;&gt; 0, Source!BB39, 1)</f>
        <v>8.89</v>
      </c>
      <c r="L156" s="27">
        <f>Source!Q39</f>
        <v>29.07</v>
      </c>
    </row>
    <row r="157" spans="1:27" ht="14.25" x14ac:dyDescent="0.2">
      <c r="A157" s="22"/>
      <c r="B157" s="22"/>
      <c r="C157" s="23"/>
      <c r="D157" s="23" t="s">
        <v>272</v>
      </c>
      <c r="E157" s="24"/>
      <c r="F157" s="10"/>
      <c r="G157" s="26">
        <f>Source!AN39</f>
        <v>0.2</v>
      </c>
      <c r="H157" s="25" t="str">
        <f>Source!DF39</f>
        <v>)*1,2</v>
      </c>
      <c r="I157" s="10">
        <f>Source!AV39</f>
        <v>1.0669999999999999</v>
      </c>
      <c r="J157" s="28">
        <f>ROUND((ROUND((Source!AE39*Source!AV39*Source!I39),2)),2)</f>
        <v>0.77</v>
      </c>
      <c r="K157" s="10">
        <f>IF(Source!BS39&lt;&gt; 0, Source!BS39, 1)</f>
        <v>24.82</v>
      </c>
      <c r="L157" s="28">
        <f>Source!R39</f>
        <v>19.11</v>
      </c>
      <c r="W157">
        <f>J157</f>
        <v>0.77</v>
      </c>
    </row>
    <row r="158" spans="1:27" ht="14.25" x14ac:dyDescent="0.2">
      <c r="A158" s="22"/>
      <c r="B158" s="22"/>
      <c r="C158" s="23"/>
      <c r="D158" s="23" t="s">
        <v>273</v>
      </c>
      <c r="E158" s="24"/>
      <c r="F158" s="10"/>
      <c r="G158" s="26">
        <f>Source!AL39</f>
        <v>30.17</v>
      </c>
      <c r="H158" s="25" t="str">
        <f>Source!DD39</f>
        <v/>
      </c>
      <c r="I158" s="10">
        <f>Source!AW39</f>
        <v>1.081</v>
      </c>
      <c r="J158" s="27">
        <f>ROUND((ROUND((Source!AC39*Source!AW39*Source!I39),2)),2)</f>
        <v>97.84</v>
      </c>
      <c r="K158" s="10">
        <f>IF(Source!BC39&lt;&gt; 0, Source!BC39, 1)</f>
        <v>5.29</v>
      </c>
      <c r="L158" s="27">
        <f>Source!P39</f>
        <v>517.57000000000005</v>
      </c>
    </row>
    <row r="159" spans="1:27" ht="14.25" x14ac:dyDescent="0.2">
      <c r="A159" s="22"/>
      <c r="B159" s="22"/>
      <c r="C159" s="23"/>
      <c r="D159" s="23" t="s">
        <v>274</v>
      </c>
      <c r="E159" s="24" t="s">
        <v>275</v>
      </c>
      <c r="F159" s="10">
        <f>Source!DN39</f>
        <v>114</v>
      </c>
      <c r="G159" s="26"/>
      <c r="H159" s="25"/>
      <c r="I159" s="10"/>
      <c r="J159" s="27">
        <f>SUM(Q154:Q158)</f>
        <v>561.52</v>
      </c>
      <c r="K159" s="10">
        <f>Source!BZ39</f>
        <v>77</v>
      </c>
      <c r="L159" s="27">
        <f>SUM(R154:R158)</f>
        <v>9413.51</v>
      </c>
    </row>
    <row r="160" spans="1:27" ht="14.25" x14ac:dyDescent="0.2">
      <c r="A160" s="22"/>
      <c r="B160" s="22"/>
      <c r="C160" s="23"/>
      <c r="D160" s="23" t="s">
        <v>276</v>
      </c>
      <c r="E160" s="24" t="s">
        <v>275</v>
      </c>
      <c r="F160" s="10">
        <f>Source!DO39</f>
        <v>67</v>
      </c>
      <c r="G160" s="26"/>
      <c r="H160" s="25"/>
      <c r="I160" s="10"/>
      <c r="J160" s="27">
        <f>SUM(S154:S159)</f>
        <v>330.02</v>
      </c>
      <c r="K160" s="10">
        <f>Source!CA39</f>
        <v>41</v>
      </c>
      <c r="L160" s="27">
        <f>SUM(T154:T159)</f>
        <v>5012.3900000000003</v>
      </c>
    </row>
    <row r="161" spans="1:27" ht="14.25" x14ac:dyDescent="0.2">
      <c r="A161" s="22"/>
      <c r="B161" s="22"/>
      <c r="C161" s="23"/>
      <c r="D161" s="23" t="s">
        <v>277</v>
      </c>
      <c r="E161" s="24" t="s">
        <v>275</v>
      </c>
      <c r="F161" s="10">
        <f>175</f>
        <v>175</v>
      </c>
      <c r="G161" s="26"/>
      <c r="H161" s="25"/>
      <c r="I161" s="10"/>
      <c r="J161" s="27">
        <f>SUM(U154:U160)</f>
        <v>1.35</v>
      </c>
      <c r="K161" s="10">
        <f>157</f>
        <v>157</v>
      </c>
      <c r="L161" s="27">
        <f>SUM(V154:V160)</f>
        <v>30</v>
      </c>
    </row>
    <row r="162" spans="1:27" ht="14.25" x14ac:dyDescent="0.2">
      <c r="A162" s="22"/>
      <c r="B162" s="22"/>
      <c r="C162" s="23"/>
      <c r="D162" s="23" t="s">
        <v>278</v>
      </c>
      <c r="E162" s="24" t="s">
        <v>279</v>
      </c>
      <c r="F162" s="10">
        <f>Source!AQ39</f>
        <v>10.4</v>
      </c>
      <c r="G162" s="26"/>
      <c r="H162" s="25" t="str">
        <f>Source!DI39</f>
        <v>)*1,2</v>
      </c>
      <c r="I162" s="10">
        <f>Source!AV39</f>
        <v>1.0669999999999999</v>
      </c>
      <c r="J162" s="27">
        <f>Source!U39</f>
        <v>39.948480000000004</v>
      </c>
      <c r="K162" s="10"/>
      <c r="L162" s="27"/>
    </row>
    <row r="163" spans="1:27" ht="15" x14ac:dyDescent="0.25">
      <c r="A163" s="30"/>
      <c r="B163" s="30"/>
      <c r="C163" s="30"/>
      <c r="D163" s="30"/>
      <c r="E163" s="30"/>
      <c r="F163" s="30"/>
      <c r="G163" s="30"/>
      <c r="H163" s="30"/>
      <c r="I163" s="54">
        <f>J155+J156+J158+J159+J160+J161</f>
        <v>1486.56</v>
      </c>
      <c r="J163" s="54"/>
      <c r="K163" s="54">
        <f>L155+L156+L158+L159+L160+L161</f>
        <v>27227.879999999997</v>
      </c>
      <c r="L163" s="54"/>
      <c r="O163" s="29">
        <f>J155+J156+J158+J159+J160+J161</f>
        <v>1486.56</v>
      </c>
      <c r="P163" s="29">
        <f>L155+L156+L158+L159+L160+L161</f>
        <v>27227.879999999997</v>
      </c>
      <c r="X163">
        <f>IF(Source!BI39&lt;=1,J155+J156+J158+J159+J160+J161-0, 0)</f>
        <v>0</v>
      </c>
      <c r="Y163">
        <f>IF(Source!BI39=2,J155+J156+J158+J159+J160+J161-0, 0)</f>
        <v>1486.56</v>
      </c>
      <c r="Z163">
        <f>IF(Source!BI39=3,J155+J156+J158+J159+J160+J161-0, 0)</f>
        <v>0</v>
      </c>
      <c r="AA163">
        <f>IF(Source!BI39=4,J155+J156+J158+J159+J160+J161,0)</f>
        <v>0</v>
      </c>
    </row>
    <row r="165" spans="1:27" ht="15" x14ac:dyDescent="0.25">
      <c r="A165" s="53" t="str">
        <f>CONCATENATE("Итого по разделу: ",IF(Source!G41&lt;&gt;"Новый раздел", Source!G41, ""))</f>
        <v>Итого по разделу: Электромонтажные работы.</v>
      </c>
      <c r="B165" s="53"/>
      <c r="C165" s="53"/>
      <c r="D165" s="53"/>
      <c r="E165" s="53"/>
      <c r="F165" s="53"/>
      <c r="G165" s="53"/>
      <c r="H165" s="53"/>
      <c r="I165" s="51">
        <f>SUM(O42:O164)</f>
        <v>15883.079999999996</v>
      </c>
      <c r="J165" s="52"/>
      <c r="K165" s="51">
        <f>SUM(P42:P164)</f>
        <v>223664.04</v>
      </c>
      <c r="L165" s="52"/>
    </row>
    <row r="166" spans="1:27" hidden="1" x14ac:dyDescent="0.2">
      <c r="A166" t="s">
        <v>280</v>
      </c>
      <c r="I166">
        <f>SUM(AC42:AC165)</f>
        <v>0</v>
      </c>
      <c r="K166">
        <f>SUM(AD42:AD165)</f>
        <v>0</v>
      </c>
    </row>
    <row r="167" spans="1:27" hidden="1" x14ac:dyDescent="0.2">
      <c r="A167" t="s">
        <v>281</v>
      </c>
      <c r="I167">
        <f>SUM(AE42:AE166)</f>
        <v>0</v>
      </c>
      <c r="K167">
        <f>SUM(AF42:AF166)</f>
        <v>0</v>
      </c>
    </row>
    <row r="169" spans="1:27" ht="16.5" x14ac:dyDescent="0.25">
      <c r="A169" s="55" t="str">
        <f>CONCATENATE("Раздел: ",IF(Source!G71&lt;&gt;"Новый раздел", Source!G71, ""))</f>
        <v>Раздел: Пусконаладочные работы.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1:27" ht="28.5" x14ac:dyDescent="0.2">
      <c r="A170" s="22">
        <v>13</v>
      </c>
      <c r="B170" s="22" t="str">
        <f>Source!E75</f>
        <v>13</v>
      </c>
      <c r="C170" s="23" t="str">
        <f>Source!F75</f>
        <v>5.1-23-1</v>
      </c>
      <c r="D170" s="23" t="s">
        <v>144</v>
      </c>
      <c r="E170" s="24" t="str">
        <f>Source!H75</f>
        <v>шт.</v>
      </c>
      <c r="F170" s="10">
        <f>Source!I75</f>
        <v>19</v>
      </c>
      <c r="G170" s="26"/>
      <c r="H170" s="25"/>
      <c r="I170" s="10"/>
      <c r="J170" s="27"/>
      <c r="K170" s="10"/>
      <c r="L170" s="27"/>
      <c r="Q170">
        <f>ROUND((Source!DN75/100)*ROUND((ROUND((Source!AF75*Source!AV75*Source!I75),2)),2), 2)</f>
        <v>1604.45</v>
      </c>
      <c r="R170">
        <f>Source!X75</f>
        <v>36105.74</v>
      </c>
      <c r="S170">
        <f>ROUND((Source!DO75/100)*ROUND((ROUND((Source!AF75*Source!AV75*Source!I75),2)),2), 2)</f>
        <v>1497.49</v>
      </c>
      <c r="T170">
        <f>Source!Y75</f>
        <v>21769.64</v>
      </c>
      <c r="U170">
        <f>ROUND((175/100)*ROUND((ROUND((Source!AE75*Source!AV75*Source!I75),2)),2), 2)</f>
        <v>0</v>
      </c>
      <c r="V170">
        <f>ROUND((157/100)*ROUND(ROUND((ROUND((Source!AE75*Source!AV75*Source!I75),2)*Source!BS75),2), 2), 2)</f>
        <v>0</v>
      </c>
    </row>
    <row r="171" spans="1:27" ht="14.25" x14ac:dyDescent="0.2">
      <c r="A171" s="22"/>
      <c r="B171" s="22"/>
      <c r="C171" s="23"/>
      <c r="D171" s="23" t="s">
        <v>270</v>
      </c>
      <c r="E171" s="24"/>
      <c r="F171" s="10"/>
      <c r="G171" s="26">
        <f>Source!AO75</f>
        <v>86.61</v>
      </c>
      <c r="H171" s="25" t="str">
        <f>Source!DG75</f>
        <v>)*1,3</v>
      </c>
      <c r="I171" s="10">
        <f>Source!AV75</f>
        <v>1</v>
      </c>
      <c r="J171" s="27">
        <f>ROUND((ROUND((Source!AF75*Source!AV75*Source!I75),2)),2)</f>
        <v>2139.27</v>
      </c>
      <c r="K171" s="10">
        <f>IF(Source!BA75&lt;&gt; 0, Source!BA75, 1)</f>
        <v>24.82</v>
      </c>
      <c r="L171" s="27">
        <f>Source!S75</f>
        <v>53096.68</v>
      </c>
      <c r="W171">
        <f>J171</f>
        <v>2139.27</v>
      </c>
    </row>
    <row r="172" spans="1:27" ht="14.25" x14ac:dyDescent="0.2">
      <c r="A172" s="22"/>
      <c r="B172" s="22"/>
      <c r="C172" s="23"/>
      <c r="D172" s="23" t="s">
        <v>274</v>
      </c>
      <c r="E172" s="24" t="s">
        <v>275</v>
      </c>
      <c r="F172" s="10">
        <f>Source!DN75</f>
        <v>75</v>
      </c>
      <c r="G172" s="26"/>
      <c r="H172" s="25"/>
      <c r="I172" s="10"/>
      <c r="J172" s="27">
        <f>SUM(Q170:Q171)</f>
        <v>1604.45</v>
      </c>
      <c r="K172" s="10">
        <f>Source!BZ75</f>
        <v>68</v>
      </c>
      <c r="L172" s="27">
        <f>SUM(R170:R171)</f>
        <v>36105.74</v>
      </c>
    </row>
    <row r="173" spans="1:27" ht="14.25" x14ac:dyDescent="0.2">
      <c r="A173" s="22"/>
      <c r="B173" s="22"/>
      <c r="C173" s="23"/>
      <c r="D173" s="23" t="s">
        <v>276</v>
      </c>
      <c r="E173" s="24" t="s">
        <v>275</v>
      </c>
      <c r="F173" s="10">
        <f>Source!DO75</f>
        <v>70</v>
      </c>
      <c r="G173" s="26"/>
      <c r="H173" s="25"/>
      <c r="I173" s="10"/>
      <c r="J173" s="27">
        <f>SUM(S170:S172)</f>
        <v>1497.49</v>
      </c>
      <c r="K173" s="10">
        <f>Source!CA75</f>
        <v>41</v>
      </c>
      <c r="L173" s="27">
        <f>SUM(T170:T172)</f>
        <v>21769.64</v>
      </c>
    </row>
    <row r="174" spans="1:27" ht="14.25" x14ac:dyDescent="0.2">
      <c r="A174" s="22"/>
      <c r="B174" s="22"/>
      <c r="C174" s="23"/>
      <c r="D174" s="23" t="s">
        <v>278</v>
      </c>
      <c r="E174" s="24" t="s">
        <v>279</v>
      </c>
      <c r="F174" s="10">
        <f>Source!AQ75</f>
        <v>5.4</v>
      </c>
      <c r="G174" s="26"/>
      <c r="H174" s="25" t="str">
        <f>Source!DI75</f>
        <v>)*1,3</v>
      </c>
      <c r="I174" s="10">
        <f>Source!AV75</f>
        <v>1</v>
      </c>
      <c r="J174" s="27">
        <f>Source!U75</f>
        <v>133.38</v>
      </c>
      <c r="K174" s="10"/>
      <c r="L174" s="27"/>
    </row>
    <row r="175" spans="1:27" ht="15" x14ac:dyDescent="0.25">
      <c r="A175" s="30"/>
      <c r="B175" s="30"/>
      <c r="C175" s="30"/>
      <c r="D175" s="30"/>
      <c r="E175" s="30"/>
      <c r="F175" s="30"/>
      <c r="G175" s="30"/>
      <c r="H175" s="30"/>
      <c r="I175" s="54">
        <f>J171+J172+J173</f>
        <v>5241.21</v>
      </c>
      <c r="J175" s="54"/>
      <c r="K175" s="54">
        <f>L171+L172+L173</f>
        <v>110972.06</v>
      </c>
      <c r="L175" s="54"/>
      <c r="O175" s="29">
        <f>J171+J172+J173</f>
        <v>5241.21</v>
      </c>
      <c r="P175" s="29">
        <f>L171+L172+L173</f>
        <v>110972.06</v>
      </c>
      <c r="X175">
        <f>IF(Source!BI75&lt;=1,J171+J172+J173-0, 0)</f>
        <v>0</v>
      </c>
      <c r="Y175">
        <f>IF(Source!BI75=2,J171+J172+J173-0, 0)</f>
        <v>0</v>
      </c>
      <c r="Z175">
        <f>IF(Source!BI75=3,J171+J172+J173-0, 0)</f>
        <v>0</v>
      </c>
      <c r="AA175">
        <f>IF(Source!BI75=4,J171+J172+J173,0)</f>
        <v>5241.21</v>
      </c>
    </row>
    <row r="176" spans="1:27" ht="71.25" x14ac:dyDescent="0.2">
      <c r="A176" s="22">
        <v>14</v>
      </c>
      <c r="B176" s="22" t="str">
        <f>Source!E76</f>
        <v>14</v>
      </c>
      <c r="C176" s="23" t="str">
        <f>Source!F76</f>
        <v>5.1-20-7</v>
      </c>
      <c r="D176" s="23" t="s">
        <v>154</v>
      </c>
      <c r="E176" s="24" t="str">
        <f>Source!H76</f>
        <v>шт.</v>
      </c>
      <c r="F176" s="10">
        <f>Source!I76</f>
        <v>2</v>
      </c>
      <c r="G176" s="26"/>
      <c r="H176" s="25"/>
      <c r="I176" s="10"/>
      <c r="J176" s="27"/>
      <c r="K176" s="10"/>
      <c r="L176" s="27"/>
      <c r="Q176">
        <f>ROUND((Source!DN76/100)*ROUND((ROUND((Source!AF76*Source!AV76*Source!I76),2)),2), 2)</f>
        <v>107.96</v>
      </c>
      <c r="R176">
        <f>Source!X76</f>
        <v>2429.36</v>
      </c>
      <c r="S176">
        <f>ROUND((Source!DO76/100)*ROUND((ROUND((Source!AF76*Source!AV76*Source!I76),2)),2), 2)</f>
        <v>100.76</v>
      </c>
      <c r="T176">
        <f>Source!Y76</f>
        <v>1464.76</v>
      </c>
      <c r="U176">
        <f>ROUND((175/100)*ROUND((ROUND((Source!AE76*Source!AV76*Source!I76),2)),2), 2)</f>
        <v>0</v>
      </c>
      <c r="V176">
        <f>ROUND((157/100)*ROUND(ROUND((ROUND((Source!AE76*Source!AV76*Source!I76),2)*Source!BS76),2), 2), 2)</f>
        <v>0</v>
      </c>
    </row>
    <row r="177" spans="1:27" ht="14.25" x14ac:dyDescent="0.2">
      <c r="A177" s="22"/>
      <c r="B177" s="22"/>
      <c r="C177" s="23"/>
      <c r="D177" s="23" t="s">
        <v>270</v>
      </c>
      <c r="E177" s="24"/>
      <c r="F177" s="10"/>
      <c r="G177" s="26">
        <f>Source!AO76</f>
        <v>55.36</v>
      </c>
      <c r="H177" s="25" t="str">
        <f>Source!DG76</f>
        <v>)*1,3</v>
      </c>
      <c r="I177" s="10">
        <f>Source!AV76</f>
        <v>1</v>
      </c>
      <c r="J177" s="27">
        <f>ROUND((ROUND((Source!AF76*Source!AV76*Source!I76),2)),2)</f>
        <v>143.94</v>
      </c>
      <c r="K177" s="10">
        <f>IF(Source!BA76&lt;&gt; 0, Source!BA76, 1)</f>
        <v>24.82</v>
      </c>
      <c r="L177" s="27">
        <f>Source!S76</f>
        <v>3572.59</v>
      </c>
      <c r="W177">
        <f>J177</f>
        <v>143.94</v>
      </c>
    </row>
    <row r="178" spans="1:27" ht="14.25" x14ac:dyDescent="0.2">
      <c r="A178" s="22"/>
      <c r="B178" s="22"/>
      <c r="C178" s="23"/>
      <c r="D178" s="23" t="s">
        <v>274</v>
      </c>
      <c r="E178" s="24" t="s">
        <v>275</v>
      </c>
      <c r="F178" s="10">
        <f>Source!DN76</f>
        <v>75</v>
      </c>
      <c r="G178" s="26"/>
      <c r="H178" s="25"/>
      <c r="I178" s="10"/>
      <c r="J178" s="27">
        <f>SUM(Q176:Q177)</f>
        <v>107.96</v>
      </c>
      <c r="K178" s="10">
        <f>Source!BZ76</f>
        <v>68</v>
      </c>
      <c r="L178" s="27">
        <f>SUM(R176:R177)</f>
        <v>2429.36</v>
      </c>
    </row>
    <row r="179" spans="1:27" ht="14.25" x14ac:dyDescent="0.2">
      <c r="A179" s="22"/>
      <c r="B179" s="22"/>
      <c r="C179" s="23"/>
      <c r="D179" s="23" t="s">
        <v>276</v>
      </c>
      <c r="E179" s="24" t="s">
        <v>275</v>
      </c>
      <c r="F179" s="10">
        <f>Source!DO76</f>
        <v>70</v>
      </c>
      <c r="G179" s="26"/>
      <c r="H179" s="25"/>
      <c r="I179" s="10"/>
      <c r="J179" s="27">
        <f>SUM(S176:S178)</f>
        <v>100.76</v>
      </c>
      <c r="K179" s="10">
        <f>Source!CA76</f>
        <v>41</v>
      </c>
      <c r="L179" s="27">
        <f>SUM(T176:T178)</f>
        <v>1464.76</v>
      </c>
    </row>
    <row r="180" spans="1:27" ht="14.25" x14ac:dyDescent="0.2">
      <c r="A180" s="22"/>
      <c r="B180" s="22"/>
      <c r="C180" s="23"/>
      <c r="D180" s="23" t="s">
        <v>278</v>
      </c>
      <c r="E180" s="24" t="s">
        <v>279</v>
      </c>
      <c r="F180" s="10">
        <f>Source!AQ76</f>
        <v>4.5</v>
      </c>
      <c r="G180" s="26"/>
      <c r="H180" s="25" t="str">
        <f>Source!DI76</f>
        <v>)*1,3</v>
      </c>
      <c r="I180" s="10">
        <f>Source!AV76</f>
        <v>1</v>
      </c>
      <c r="J180" s="27">
        <f>Source!U76</f>
        <v>11.700000000000001</v>
      </c>
      <c r="K180" s="10"/>
      <c r="L180" s="27"/>
    </row>
    <row r="181" spans="1:27" ht="15" x14ac:dyDescent="0.25">
      <c r="A181" s="30"/>
      <c r="B181" s="30"/>
      <c r="C181" s="30"/>
      <c r="D181" s="30"/>
      <c r="E181" s="30"/>
      <c r="F181" s="30"/>
      <c r="G181" s="30"/>
      <c r="H181" s="30"/>
      <c r="I181" s="54">
        <f>J177+J178+J179</f>
        <v>352.65999999999997</v>
      </c>
      <c r="J181" s="54"/>
      <c r="K181" s="54">
        <f>L177+L178+L179</f>
        <v>7466.7100000000009</v>
      </c>
      <c r="L181" s="54"/>
      <c r="O181" s="29">
        <f>J177+J178+J179</f>
        <v>352.65999999999997</v>
      </c>
      <c r="P181" s="29">
        <f>L177+L178+L179</f>
        <v>7466.7100000000009</v>
      </c>
      <c r="X181">
        <f>IF(Source!BI76&lt;=1,J177+J178+J179-0, 0)</f>
        <v>0</v>
      </c>
      <c r="Y181">
        <f>IF(Source!BI76=2,J177+J178+J179-0, 0)</f>
        <v>0</v>
      </c>
      <c r="Z181">
        <f>IF(Source!BI76=3,J177+J178+J179-0, 0)</f>
        <v>0</v>
      </c>
      <c r="AA181">
        <f>IF(Source!BI76=4,J177+J178+J179,0)</f>
        <v>352.65999999999997</v>
      </c>
    </row>
    <row r="182" spans="1:27" ht="28.5" x14ac:dyDescent="0.2">
      <c r="A182" s="22">
        <v>15</v>
      </c>
      <c r="B182" s="22" t="str">
        <f>Source!E77</f>
        <v>15</v>
      </c>
      <c r="C182" s="23" t="str">
        <f>Source!F77</f>
        <v>5.1-168-1</v>
      </c>
      <c r="D182" s="23" t="s">
        <v>158</v>
      </c>
      <c r="E182" s="24" t="str">
        <f>Source!H77</f>
        <v>испытание</v>
      </c>
      <c r="F182" s="10">
        <f>Source!I77</f>
        <v>4</v>
      </c>
      <c r="G182" s="26"/>
      <c r="H182" s="25"/>
      <c r="I182" s="10"/>
      <c r="J182" s="27"/>
      <c r="K182" s="10"/>
      <c r="L182" s="27"/>
      <c r="Q182">
        <f>ROUND((Source!DN77/100)*ROUND((ROUND((Source!AF77*Source!AV77*Source!I77),2)),2), 2)</f>
        <v>474.51</v>
      </c>
      <c r="R182">
        <f>Source!X77</f>
        <v>9219.66</v>
      </c>
      <c r="S182">
        <f>ROUND((Source!DO77/100)*ROUND((ROUND((Source!AF77*Source!AV77*Source!I77),2)),2), 2)</f>
        <v>442.88</v>
      </c>
      <c r="T182">
        <f>Source!Y77</f>
        <v>5558.92</v>
      </c>
      <c r="U182">
        <f>ROUND((175/100)*ROUND((ROUND((Source!AE77*Source!AV77*Source!I77),2)),2), 2)</f>
        <v>0</v>
      </c>
      <c r="V182">
        <f>ROUND((157/100)*ROUND(ROUND((ROUND((Source!AE77*Source!AV77*Source!I77),2)*Source!BS77),2), 2), 2)</f>
        <v>0</v>
      </c>
    </row>
    <row r="183" spans="1:27" ht="14.25" x14ac:dyDescent="0.2">
      <c r="A183" s="22"/>
      <c r="B183" s="22"/>
      <c r="C183" s="23"/>
      <c r="D183" s="23" t="s">
        <v>270</v>
      </c>
      <c r="E183" s="24"/>
      <c r="F183" s="10"/>
      <c r="G183" s="26">
        <f>Source!AO77</f>
        <v>121.67</v>
      </c>
      <c r="H183" s="25" t="str">
        <f>Source!DG77</f>
        <v>)*1,3</v>
      </c>
      <c r="I183" s="10">
        <f>Source!AV77</f>
        <v>1</v>
      </c>
      <c r="J183" s="27">
        <f>ROUND((ROUND((Source!AF77*Source!AV77*Source!I77),2)),2)</f>
        <v>632.67999999999995</v>
      </c>
      <c r="K183" s="10">
        <f>IF(Source!BA77&lt;&gt; 0, Source!BA77, 1)</f>
        <v>21.43</v>
      </c>
      <c r="L183" s="27">
        <f>Source!S77</f>
        <v>13558.33</v>
      </c>
      <c r="W183">
        <f>J183</f>
        <v>632.67999999999995</v>
      </c>
    </row>
    <row r="184" spans="1:27" ht="14.25" x14ac:dyDescent="0.2">
      <c r="A184" s="22"/>
      <c r="B184" s="22"/>
      <c r="C184" s="23"/>
      <c r="D184" s="23" t="s">
        <v>274</v>
      </c>
      <c r="E184" s="24" t="s">
        <v>275</v>
      </c>
      <c r="F184" s="10">
        <f>Source!DN77</f>
        <v>75</v>
      </c>
      <c r="G184" s="26"/>
      <c r="H184" s="25"/>
      <c r="I184" s="10"/>
      <c r="J184" s="27">
        <f>SUM(Q182:Q183)</f>
        <v>474.51</v>
      </c>
      <c r="K184" s="10">
        <f>Source!BZ77</f>
        <v>68</v>
      </c>
      <c r="L184" s="27">
        <f>SUM(R182:R183)</f>
        <v>9219.66</v>
      </c>
    </row>
    <row r="185" spans="1:27" ht="14.25" x14ac:dyDescent="0.2">
      <c r="A185" s="22"/>
      <c r="B185" s="22"/>
      <c r="C185" s="23"/>
      <c r="D185" s="23" t="s">
        <v>276</v>
      </c>
      <c r="E185" s="24" t="s">
        <v>275</v>
      </c>
      <c r="F185" s="10">
        <f>Source!DO77</f>
        <v>70</v>
      </c>
      <c r="G185" s="26"/>
      <c r="H185" s="25"/>
      <c r="I185" s="10"/>
      <c r="J185" s="27">
        <f>SUM(S182:S184)</f>
        <v>442.88</v>
      </c>
      <c r="K185" s="10">
        <f>Source!CA77</f>
        <v>41</v>
      </c>
      <c r="L185" s="27">
        <f>SUM(T182:T184)</f>
        <v>5558.92</v>
      </c>
    </row>
    <row r="186" spans="1:27" ht="14.25" x14ac:dyDescent="0.2">
      <c r="A186" s="22"/>
      <c r="B186" s="22"/>
      <c r="C186" s="23"/>
      <c r="D186" s="23" t="s">
        <v>278</v>
      </c>
      <c r="E186" s="24" t="s">
        <v>279</v>
      </c>
      <c r="F186" s="10">
        <f>Source!AQ77</f>
        <v>8.1</v>
      </c>
      <c r="G186" s="26"/>
      <c r="H186" s="25" t="str">
        <f>Source!DI77</f>
        <v>)*1,3</v>
      </c>
      <c r="I186" s="10">
        <f>Source!AV77</f>
        <v>1</v>
      </c>
      <c r="J186" s="27">
        <f>Source!U77</f>
        <v>42.12</v>
      </c>
      <c r="K186" s="10"/>
      <c r="L186" s="27"/>
    </row>
    <row r="187" spans="1:27" ht="15" x14ac:dyDescent="0.25">
      <c r="A187" s="30"/>
      <c r="B187" s="30"/>
      <c r="C187" s="30"/>
      <c r="D187" s="30"/>
      <c r="E187" s="30"/>
      <c r="F187" s="30"/>
      <c r="G187" s="30"/>
      <c r="H187" s="30"/>
      <c r="I187" s="54">
        <f>J183+J184+J185</f>
        <v>1550.0700000000002</v>
      </c>
      <c r="J187" s="54"/>
      <c r="K187" s="54">
        <f>L183+L184+L185</f>
        <v>28336.909999999996</v>
      </c>
      <c r="L187" s="54"/>
      <c r="O187" s="29">
        <f>J183+J184+J185</f>
        <v>1550.0700000000002</v>
      </c>
      <c r="P187" s="29">
        <f>L183+L184+L185</f>
        <v>28336.909999999996</v>
      </c>
      <c r="X187">
        <f>IF(Source!BI77&lt;=1,J183+J184+J185-0, 0)</f>
        <v>0</v>
      </c>
      <c r="Y187">
        <f>IF(Source!BI77=2,J183+J184+J185-0, 0)</f>
        <v>0</v>
      </c>
      <c r="Z187">
        <f>IF(Source!BI77=3,J183+J184+J185-0, 0)</f>
        <v>0</v>
      </c>
      <c r="AA187">
        <f>IF(Source!BI77=4,J183+J184+J185,0)</f>
        <v>1550.0700000000002</v>
      </c>
    </row>
    <row r="188" spans="1:27" ht="71.25" x14ac:dyDescent="0.2">
      <c r="A188" s="22">
        <v>16</v>
      </c>
      <c r="B188" s="22" t="str">
        <f>Source!E78</f>
        <v>16</v>
      </c>
      <c r="C188" s="23" t="str">
        <f>Source!F78</f>
        <v>5.1-141-2</v>
      </c>
      <c r="D188" s="23" t="s">
        <v>163</v>
      </c>
      <c r="E188" s="24" t="str">
        <f>Source!H78</f>
        <v>шт.</v>
      </c>
      <c r="F188" s="10">
        <f>Source!I78</f>
        <v>4</v>
      </c>
      <c r="G188" s="26"/>
      <c r="H188" s="25"/>
      <c r="I188" s="10"/>
      <c r="J188" s="27"/>
      <c r="K188" s="10"/>
      <c r="L188" s="27"/>
      <c r="Q188">
        <f>ROUND((Source!DN78/100)*ROUND((ROUND((Source!AF78*Source!AV78*Source!I78),2)),2), 2)</f>
        <v>466.28</v>
      </c>
      <c r="R188">
        <f>Source!X78</f>
        <v>10492.97</v>
      </c>
      <c r="S188">
        <f>ROUND((Source!DO78/100)*ROUND((ROUND((Source!AF78*Source!AV78*Source!I78),2)),2), 2)</f>
        <v>435.2</v>
      </c>
      <c r="T188">
        <f>Source!Y78</f>
        <v>6326.64</v>
      </c>
      <c r="U188">
        <f>ROUND((175/100)*ROUND((ROUND((Source!AE78*Source!AV78*Source!I78),2)),2), 2)</f>
        <v>0</v>
      </c>
      <c r="V188">
        <f>ROUND((157/100)*ROUND(ROUND((ROUND((Source!AE78*Source!AV78*Source!I78),2)*Source!BS78),2), 2), 2)</f>
        <v>0</v>
      </c>
    </row>
    <row r="189" spans="1:27" ht="14.25" x14ac:dyDescent="0.2">
      <c r="A189" s="22"/>
      <c r="B189" s="22"/>
      <c r="C189" s="23"/>
      <c r="D189" s="23" t="s">
        <v>270</v>
      </c>
      <c r="E189" s="24"/>
      <c r="F189" s="10"/>
      <c r="G189" s="26">
        <f>Source!AO78</f>
        <v>119.56</v>
      </c>
      <c r="H189" s="25" t="str">
        <f>Source!DG78</f>
        <v>)*1,3</v>
      </c>
      <c r="I189" s="10">
        <f>Source!AV78</f>
        <v>1</v>
      </c>
      <c r="J189" s="27">
        <f>ROUND((ROUND((Source!AF78*Source!AV78*Source!I78),2)),2)</f>
        <v>621.71</v>
      </c>
      <c r="K189" s="10">
        <f>IF(Source!BA78&lt;&gt; 0, Source!BA78, 1)</f>
        <v>24.82</v>
      </c>
      <c r="L189" s="27">
        <f>Source!S78</f>
        <v>15430.84</v>
      </c>
      <c r="W189">
        <f>J189</f>
        <v>621.71</v>
      </c>
    </row>
    <row r="190" spans="1:27" ht="14.25" x14ac:dyDescent="0.2">
      <c r="A190" s="22"/>
      <c r="B190" s="22"/>
      <c r="C190" s="23"/>
      <c r="D190" s="23" t="s">
        <v>274</v>
      </c>
      <c r="E190" s="24" t="s">
        <v>275</v>
      </c>
      <c r="F190" s="10">
        <f>Source!DN78</f>
        <v>75</v>
      </c>
      <c r="G190" s="26"/>
      <c r="H190" s="25"/>
      <c r="I190" s="10"/>
      <c r="J190" s="27">
        <f>SUM(Q188:Q189)</f>
        <v>466.28</v>
      </c>
      <c r="K190" s="10">
        <f>Source!BZ78</f>
        <v>68</v>
      </c>
      <c r="L190" s="27">
        <f>SUM(R188:R189)</f>
        <v>10492.97</v>
      </c>
    </row>
    <row r="191" spans="1:27" ht="14.25" x14ac:dyDescent="0.2">
      <c r="A191" s="22"/>
      <c r="B191" s="22"/>
      <c r="C191" s="23"/>
      <c r="D191" s="23" t="s">
        <v>276</v>
      </c>
      <c r="E191" s="24" t="s">
        <v>275</v>
      </c>
      <c r="F191" s="10">
        <f>Source!DO78</f>
        <v>70</v>
      </c>
      <c r="G191" s="26"/>
      <c r="H191" s="25"/>
      <c r="I191" s="10"/>
      <c r="J191" s="27">
        <f>SUM(S188:S190)</f>
        <v>435.2</v>
      </c>
      <c r="K191" s="10">
        <f>Source!CA78</f>
        <v>41</v>
      </c>
      <c r="L191" s="27">
        <f>SUM(T188:T190)</f>
        <v>6326.64</v>
      </c>
    </row>
    <row r="192" spans="1:27" ht="14.25" x14ac:dyDescent="0.2">
      <c r="A192" s="22"/>
      <c r="B192" s="22"/>
      <c r="C192" s="23"/>
      <c r="D192" s="23" t="s">
        <v>278</v>
      </c>
      <c r="E192" s="24" t="s">
        <v>279</v>
      </c>
      <c r="F192" s="10">
        <f>Source!AQ78</f>
        <v>7.2</v>
      </c>
      <c r="G192" s="26"/>
      <c r="H192" s="25" t="str">
        <f>Source!DI78</f>
        <v>)*1,3</v>
      </c>
      <c r="I192" s="10">
        <f>Source!AV78</f>
        <v>1</v>
      </c>
      <c r="J192" s="27">
        <f>Source!U78</f>
        <v>37.440000000000005</v>
      </c>
      <c r="K192" s="10"/>
      <c r="L192" s="27"/>
    </row>
    <row r="193" spans="1:27" ht="15" x14ac:dyDescent="0.25">
      <c r="A193" s="30"/>
      <c r="B193" s="30"/>
      <c r="C193" s="30"/>
      <c r="D193" s="30"/>
      <c r="E193" s="30"/>
      <c r="F193" s="30"/>
      <c r="G193" s="30"/>
      <c r="H193" s="30"/>
      <c r="I193" s="54">
        <f>J189+J190+J191</f>
        <v>1523.19</v>
      </c>
      <c r="J193" s="54"/>
      <c r="K193" s="54">
        <f>L189+L190+L191</f>
        <v>32250.449999999997</v>
      </c>
      <c r="L193" s="54"/>
      <c r="O193" s="29">
        <f>J189+J190+J191</f>
        <v>1523.19</v>
      </c>
      <c r="P193" s="29">
        <f>L189+L190+L191</f>
        <v>32250.449999999997</v>
      </c>
      <c r="X193">
        <f>IF(Source!BI78&lt;=1,J189+J190+J191-0, 0)</f>
        <v>0</v>
      </c>
      <c r="Y193">
        <f>IF(Source!BI78=2,J189+J190+J191-0, 0)</f>
        <v>0</v>
      </c>
      <c r="Z193">
        <f>IF(Source!BI78=3,J189+J190+J191-0, 0)</f>
        <v>0</v>
      </c>
      <c r="AA193">
        <f>IF(Source!BI78=4,J189+J190+J191,0)</f>
        <v>1523.19</v>
      </c>
    </row>
    <row r="194" spans="1:27" ht="42.75" x14ac:dyDescent="0.2">
      <c r="A194" s="22">
        <v>17</v>
      </c>
      <c r="B194" s="22" t="str">
        <f>Source!E79</f>
        <v>17</v>
      </c>
      <c r="C194" s="23" t="str">
        <f>Source!F79</f>
        <v>5.1-152-1</v>
      </c>
      <c r="D194" s="23" t="s">
        <v>167</v>
      </c>
      <c r="E194" s="24" t="str">
        <f>Source!H79</f>
        <v>точка</v>
      </c>
      <c r="F194" s="10">
        <f>Source!I79</f>
        <v>54</v>
      </c>
      <c r="G194" s="26"/>
      <c r="H194" s="25"/>
      <c r="I194" s="10"/>
      <c r="J194" s="27"/>
      <c r="K194" s="10"/>
      <c r="L194" s="27"/>
      <c r="Q194">
        <f>ROUND((Source!DN79/100)*ROUND((ROUND((Source!AF79*Source!AV79*Source!I79),2)),2), 2)</f>
        <v>124.78</v>
      </c>
      <c r="R194">
        <f>Source!X79</f>
        <v>2807.92</v>
      </c>
      <c r="S194">
        <f>ROUND((Source!DO79/100)*ROUND((ROUND((Source!AF79*Source!AV79*Source!I79),2)),2), 2)</f>
        <v>116.46</v>
      </c>
      <c r="T194">
        <f>Source!Y79</f>
        <v>1693.01</v>
      </c>
      <c r="U194">
        <f>ROUND((175/100)*ROUND((ROUND((Source!AE79*Source!AV79*Source!I79),2)),2), 2)</f>
        <v>0</v>
      </c>
      <c r="V194">
        <f>ROUND((157/100)*ROUND(ROUND((ROUND((Source!AE79*Source!AV79*Source!I79),2)*Source!BS79),2), 2), 2)</f>
        <v>0</v>
      </c>
    </row>
    <row r="195" spans="1:27" ht="14.25" x14ac:dyDescent="0.2">
      <c r="A195" s="22"/>
      <c r="B195" s="22"/>
      <c r="C195" s="23"/>
      <c r="D195" s="23" t="s">
        <v>270</v>
      </c>
      <c r="E195" s="24"/>
      <c r="F195" s="10"/>
      <c r="G195" s="26">
        <f>Source!AO79</f>
        <v>2.37</v>
      </c>
      <c r="H195" s="25" t="str">
        <f>Source!DG79</f>
        <v>)*1,3</v>
      </c>
      <c r="I195" s="10">
        <f>Source!AV79</f>
        <v>1</v>
      </c>
      <c r="J195" s="27">
        <f>ROUND((ROUND((Source!AF79*Source!AV79*Source!I79),2)),2)</f>
        <v>166.37</v>
      </c>
      <c r="K195" s="10">
        <f>IF(Source!BA79&lt;&gt; 0, Source!BA79, 1)</f>
        <v>24.82</v>
      </c>
      <c r="L195" s="27">
        <f>Source!S79</f>
        <v>4129.3</v>
      </c>
      <c r="W195">
        <f>J195</f>
        <v>166.37</v>
      </c>
    </row>
    <row r="196" spans="1:27" ht="14.25" x14ac:dyDescent="0.2">
      <c r="A196" s="22"/>
      <c r="B196" s="22"/>
      <c r="C196" s="23"/>
      <c r="D196" s="23" t="s">
        <v>274</v>
      </c>
      <c r="E196" s="24" t="s">
        <v>275</v>
      </c>
      <c r="F196" s="10">
        <f>Source!DN79</f>
        <v>75</v>
      </c>
      <c r="G196" s="26"/>
      <c r="H196" s="25"/>
      <c r="I196" s="10"/>
      <c r="J196" s="27">
        <f>SUM(Q194:Q195)</f>
        <v>124.78</v>
      </c>
      <c r="K196" s="10">
        <f>Source!BZ79</f>
        <v>68</v>
      </c>
      <c r="L196" s="27">
        <f>SUM(R194:R195)</f>
        <v>2807.92</v>
      </c>
    </row>
    <row r="197" spans="1:27" ht="14.25" x14ac:dyDescent="0.2">
      <c r="A197" s="22"/>
      <c r="B197" s="22"/>
      <c r="C197" s="23"/>
      <c r="D197" s="23" t="s">
        <v>276</v>
      </c>
      <c r="E197" s="24" t="s">
        <v>275</v>
      </c>
      <c r="F197" s="10">
        <f>Source!DO79</f>
        <v>70</v>
      </c>
      <c r="G197" s="26"/>
      <c r="H197" s="25"/>
      <c r="I197" s="10"/>
      <c r="J197" s="27">
        <f>SUM(S194:S196)</f>
        <v>116.46</v>
      </c>
      <c r="K197" s="10">
        <f>Source!CA79</f>
        <v>41</v>
      </c>
      <c r="L197" s="27">
        <f>SUM(T194:T196)</f>
        <v>1693.01</v>
      </c>
    </row>
    <row r="198" spans="1:27" ht="14.25" x14ac:dyDescent="0.2">
      <c r="A198" s="22"/>
      <c r="B198" s="22"/>
      <c r="C198" s="23"/>
      <c r="D198" s="23" t="s">
        <v>278</v>
      </c>
      <c r="E198" s="24" t="s">
        <v>279</v>
      </c>
      <c r="F198" s="10">
        <f>Source!AQ79</f>
        <v>0.15</v>
      </c>
      <c r="G198" s="26"/>
      <c r="H198" s="25" t="str">
        <f>Source!DI79</f>
        <v>)*1,3</v>
      </c>
      <c r="I198" s="10">
        <f>Source!AV79</f>
        <v>1</v>
      </c>
      <c r="J198" s="27">
        <f>Source!U79</f>
        <v>10.530000000000001</v>
      </c>
      <c r="K198" s="10"/>
      <c r="L198" s="27"/>
    </row>
    <row r="199" spans="1:27" ht="15" x14ac:dyDescent="0.25">
      <c r="A199" s="30"/>
      <c r="B199" s="30"/>
      <c r="C199" s="30"/>
      <c r="D199" s="30"/>
      <c r="E199" s="30"/>
      <c r="F199" s="30"/>
      <c r="G199" s="30"/>
      <c r="H199" s="30"/>
      <c r="I199" s="54">
        <f>J195+J196+J197</f>
        <v>407.60999999999996</v>
      </c>
      <c r="J199" s="54"/>
      <c r="K199" s="54">
        <f>L195+L196+L197</f>
        <v>8630.23</v>
      </c>
      <c r="L199" s="54"/>
      <c r="O199" s="29">
        <f>J195+J196+J197</f>
        <v>407.60999999999996</v>
      </c>
      <c r="P199" s="29">
        <f>L195+L196+L197</f>
        <v>8630.23</v>
      </c>
      <c r="X199">
        <f>IF(Source!BI79&lt;=1,J195+J196+J197-0, 0)</f>
        <v>0</v>
      </c>
      <c r="Y199">
        <f>IF(Source!BI79=2,J195+J196+J197-0, 0)</f>
        <v>0</v>
      </c>
      <c r="Z199">
        <f>IF(Source!BI79=3,J195+J196+J197-0, 0)</f>
        <v>0</v>
      </c>
      <c r="AA199">
        <f>IF(Source!BI79=4,J195+J196+J197,0)</f>
        <v>407.60999999999996</v>
      </c>
    </row>
    <row r="200" spans="1:27" ht="28.5" x14ac:dyDescent="0.2">
      <c r="A200" s="22">
        <v>18</v>
      </c>
      <c r="B200" s="22" t="str">
        <f>Source!E80</f>
        <v>18</v>
      </c>
      <c r="C200" s="23" t="str">
        <f>Source!F80</f>
        <v>5.1-154-1</v>
      </c>
      <c r="D200" s="23" t="s">
        <v>172</v>
      </c>
      <c r="E200" s="24" t="str">
        <f>Source!H80</f>
        <v>токоприемник</v>
      </c>
      <c r="F200" s="10">
        <f>Source!I80</f>
        <v>20</v>
      </c>
      <c r="G200" s="26"/>
      <c r="H200" s="25"/>
      <c r="I200" s="10"/>
      <c r="J200" s="27"/>
      <c r="K200" s="10"/>
      <c r="L200" s="27"/>
      <c r="Q200">
        <f>ROUND((Source!DN80/100)*ROUND((ROUND((Source!AF80*Source!AV80*Source!I80),2)),2), 2)</f>
        <v>308.69</v>
      </c>
      <c r="R200">
        <f>Source!X80</f>
        <v>6946.49</v>
      </c>
      <c r="S200">
        <f>ROUND((Source!DO80/100)*ROUND((ROUND((Source!AF80*Source!AV80*Source!I80),2)),2), 2)</f>
        <v>288.11</v>
      </c>
      <c r="T200">
        <f>Source!Y80</f>
        <v>4188.32</v>
      </c>
      <c r="U200">
        <f>ROUND((175/100)*ROUND((ROUND((Source!AE80*Source!AV80*Source!I80),2)),2), 2)</f>
        <v>0</v>
      </c>
      <c r="V200">
        <f>ROUND((157/100)*ROUND(ROUND((ROUND((Source!AE80*Source!AV80*Source!I80),2)*Source!BS80),2), 2), 2)</f>
        <v>0</v>
      </c>
    </row>
    <row r="201" spans="1:27" ht="14.25" x14ac:dyDescent="0.2">
      <c r="A201" s="22"/>
      <c r="B201" s="22"/>
      <c r="C201" s="23"/>
      <c r="D201" s="23" t="s">
        <v>270</v>
      </c>
      <c r="E201" s="24"/>
      <c r="F201" s="10"/>
      <c r="G201" s="26">
        <f>Source!AO80</f>
        <v>15.83</v>
      </c>
      <c r="H201" s="25" t="str">
        <f>Source!DG80</f>
        <v>)*1,3</v>
      </c>
      <c r="I201" s="10">
        <f>Source!AV80</f>
        <v>1</v>
      </c>
      <c r="J201" s="27">
        <f>ROUND((ROUND((Source!AF80*Source!AV80*Source!I80),2)),2)</f>
        <v>411.58</v>
      </c>
      <c r="K201" s="10">
        <f>IF(Source!BA80&lt;&gt; 0, Source!BA80, 1)</f>
        <v>24.82</v>
      </c>
      <c r="L201" s="27">
        <f>Source!S80</f>
        <v>10215.42</v>
      </c>
      <c r="W201">
        <f>J201</f>
        <v>411.58</v>
      </c>
    </row>
    <row r="202" spans="1:27" ht="14.25" x14ac:dyDescent="0.2">
      <c r="A202" s="22"/>
      <c r="B202" s="22"/>
      <c r="C202" s="23"/>
      <c r="D202" s="23" t="s">
        <v>274</v>
      </c>
      <c r="E202" s="24" t="s">
        <v>275</v>
      </c>
      <c r="F202" s="10">
        <f>Source!DN80</f>
        <v>75</v>
      </c>
      <c r="G202" s="26"/>
      <c r="H202" s="25"/>
      <c r="I202" s="10"/>
      <c r="J202" s="27">
        <f>SUM(Q200:Q201)</f>
        <v>308.69</v>
      </c>
      <c r="K202" s="10">
        <f>Source!BZ80</f>
        <v>68</v>
      </c>
      <c r="L202" s="27">
        <f>SUM(R200:R201)</f>
        <v>6946.49</v>
      </c>
    </row>
    <row r="203" spans="1:27" ht="14.25" x14ac:dyDescent="0.2">
      <c r="A203" s="22"/>
      <c r="B203" s="22"/>
      <c r="C203" s="23"/>
      <c r="D203" s="23" t="s">
        <v>276</v>
      </c>
      <c r="E203" s="24" t="s">
        <v>275</v>
      </c>
      <c r="F203" s="10">
        <f>Source!DO80</f>
        <v>70</v>
      </c>
      <c r="G203" s="26"/>
      <c r="H203" s="25"/>
      <c r="I203" s="10"/>
      <c r="J203" s="27">
        <f>SUM(S200:S202)</f>
        <v>288.11</v>
      </c>
      <c r="K203" s="10">
        <f>Source!CA80</f>
        <v>41</v>
      </c>
      <c r="L203" s="27">
        <f>SUM(T200:T202)</f>
        <v>4188.32</v>
      </c>
    </row>
    <row r="204" spans="1:27" ht="14.25" x14ac:dyDescent="0.2">
      <c r="A204" s="22"/>
      <c r="B204" s="22"/>
      <c r="C204" s="23"/>
      <c r="D204" s="23" t="s">
        <v>278</v>
      </c>
      <c r="E204" s="24" t="s">
        <v>279</v>
      </c>
      <c r="F204" s="10">
        <f>Source!AQ80</f>
        <v>1</v>
      </c>
      <c r="G204" s="26"/>
      <c r="H204" s="25" t="str">
        <f>Source!DI80</f>
        <v>)*1,3</v>
      </c>
      <c r="I204" s="10">
        <f>Source!AV80</f>
        <v>1</v>
      </c>
      <c r="J204" s="27">
        <f>Source!U80</f>
        <v>26</v>
      </c>
      <c r="K204" s="10"/>
      <c r="L204" s="27"/>
    </row>
    <row r="205" spans="1:27" ht="15" x14ac:dyDescent="0.25">
      <c r="A205" s="30"/>
      <c r="B205" s="30"/>
      <c r="C205" s="30"/>
      <c r="D205" s="30"/>
      <c r="E205" s="30"/>
      <c r="F205" s="30"/>
      <c r="G205" s="30"/>
      <c r="H205" s="30"/>
      <c r="I205" s="54">
        <f>J201+J202+J203</f>
        <v>1008.38</v>
      </c>
      <c r="J205" s="54"/>
      <c r="K205" s="54">
        <f>L201+L202+L203</f>
        <v>21350.23</v>
      </c>
      <c r="L205" s="54"/>
      <c r="O205" s="29">
        <f>J201+J202+J203</f>
        <v>1008.38</v>
      </c>
      <c r="P205" s="29">
        <f>L201+L202+L203</f>
        <v>21350.23</v>
      </c>
      <c r="X205">
        <f>IF(Source!BI80&lt;=1,J201+J202+J203-0, 0)</f>
        <v>0</v>
      </c>
      <c r="Y205">
        <f>IF(Source!BI80=2,J201+J202+J203-0, 0)</f>
        <v>0</v>
      </c>
      <c r="Z205">
        <f>IF(Source!BI80=3,J201+J202+J203-0, 0)</f>
        <v>0</v>
      </c>
      <c r="AA205">
        <f>IF(Source!BI80=4,J201+J202+J203,0)</f>
        <v>1008.38</v>
      </c>
    </row>
    <row r="206" spans="1:27" ht="42.75" x14ac:dyDescent="0.2">
      <c r="A206" s="22">
        <v>19</v>
      </c>
      <c r="B206" s="22" t="str">
        <f>Source!E81</f>
        <v>19</v>
      </c>
      <c r="C206" s="23" t="str">
        <f>Source!F81</f>
        <v>5.1-158-1</v>
      </c>
      <c r="D206" s="23" t="s">
        <v>177</v>
      </c>
      <c r="E206" s="24" t="str">
        <f>Source!H81</f>
        <v>фазировка</v>
      </c>
      <c r="F206" s="10">
        <f>Source!I81</f>
        <v>16</v>
      </c>
      <c r="G206" s="26"/>
      <c r="H206" s="25"/>
      <c r="I206" s="10"/>
      <c r="J206" s="27"/>
      <c r="K206" s="10"/>
      <c r="L206" s="27"/>
      <c r="Q206">
        <f>ROUND((Source!DN81/100)*ROUND((ROUND((Source!AF81*Source!AV81*Source!I81),2)),2), 2)</f>
        <v>222.14</v>
      </c>
      <c r="R206">
        <f>Source!X81</f>
        <v>4998.9799999999996</v>
      </c>
      <c r="S206">
        <f>ROUND((Source!DO81/100)*ROUND((ROUND((Source!AF81*Source!AV81*Source!I81),2)),2), 2)</f>
        <v>207.33</v>
      </c>
      <c r="T206">
        <f>Source!Y81</f>
        <v>3014.09</v>
      </c>
      <c r="U206">
        <f>ROUND((175/100)*ROUND((ROUND((Source!AE81*Source!AV81*Source!I81),2)),2), 2)</f>
        <v>0</v>
      </c>
      <c r="V206">
        <f>ROUND((157/100)*ROUND(ROUND((ROUND((Source!AE81*Source!AV81*Source!I81),2)*Source!BS81),2), 2), 2)</f>
        <v>0</v>
      </c>
    </row>
    <row r="207" spans="1:27" ht="14.25" x14ac:dyDescent="0.2">
      <c r="A207" s="22"/>
      <c r="B207" s="22"/>
      <c r="C207" s="23"/>
      <c r="D207" s="23" t="s">
        <v>270</v>
      </c>
      <c r="E207" s="24"/>
      <c r="F207" s="10"/>
      <c r="G207" s="26">
        <f>Source!AO81</f>
        <v>14.24</v>
      </c>
      <c r="H207" s="25" t="str">
        <f>Source!DG81</f>
        <v>)*1,3</v>
      </c>
      <c r="I207" s="10">
        <f>Source!AV81</f>
        <v>1</v>
      </c>
      <c r="J207" s="27">
        <f>ROUND((ROUND((Source!AF81*Source!AV81*Source!I81),2)),2)</f>
        <v>296.19</v>
      </c>
      <c r="K207" s="10">
        <f>IF(Source!BA81&lt;&gt; 0, Source!BA81, 1)</f>
        <v>24.82</v>
      </c>
      <c r="L207" s="27">
        <f>Source!S81</f>
        <v>7351.44</v>
      </c>
      <c r="W207">
        <f>J207</f>
        <v>296.19</v>
      </c>
    </row>
    <row r="208" spans="1:27" ht="14.25" x14ac:dyDescent="0.2">
      <c r="A208" s="22"/>
      <c r="B208" s="22"/>
      <c r="C208" s="23"/>
      <c r="D208" s="23" t="s">
        <v>274</v>
      </c>
      <c r="E208" s="24" t="s">
        <v>275</v>
      </c>
      <c r="F208" s="10">
        <f>Source!DN81</f>
        <v>75</v>
      </c>
      <c r="G208" s="26"/>
      <c r="H208" s="25"/>
      <c r="I208" s="10"/>
      <c r="J208" s="27">
        <f>SUM(Q206:Q207)</f>
        <v>222.14</v>
      </c>
      <c r="K208" s="10">
        <f>Source!BZ81</f>
        <v>68</v>
      </c>
      <c r="L208" s="27">
        <f>SUM(R206:R207)</f>
        <v>4998.9799999999996</v>
      </c>
    </row>
    <row r="209" spans="1:27" ht="14.25" x14ac:dyDescent="0.2">
      <c r="A209" s="22"/>
      <c r="B209" s="22"/>
      <c r="C209" s="23"/>
      <c r="D209" s="23" t="s">
        <v>276</v>
      </c>
      <c r="E209" s="24" t="s">
        <v>275</v>
      </c>
      <c r="F209" s="10">
        <f>Source!DO81</f>
        <v>70</v>
      </c>
      <c r="G209" s="26"/>
      <c r="H209" s="25"/>
      <c r="I209" s="10"/>
      <c r="J209" s="27">
        <f>SUM(S206:S208)</f>
        <v>207.33</v>
      </c>
      <c r="K209" s="10">
        <f>Source!CA81</f>
        <v>41</v>
      </c>
      <c r="L209" s="27">
        <f>SUM(T206:T208)</f>
        <v>3014.09</v>
      </c>
    </row>
    <row r="210" spans="1:27" ht="14.25" x14ac:dyDescent="0.2">
      <c r="A210" s="22"/>
      <c r="B210" s="22"/>
      <c r="C210" s="23"/>
      <c r="D210" s="23" t="s">
        <v>278</v>
      </c>
      <c r="E210" s="24" t="s">
        <v>279</v>
      </c>
      <c r="F210" s="10">
        <f>Source!AQ81</f>
        <v>0.9</v>
      </c>
      <c r="G210" s="26"/>
      <c r="H210" s="25" t="str">
        <f>Source!DI81</f>
        <v>)*1,3</v>
      </c>
      <c r="I210" s="10">
        <f>Source!AV81</f>
        <v>1</v>
      </c>
      <c r="J210" s="27">
        <f>Source!U81</f>
        <v>18.720000000000002</v>
      </c>
      <c r="K210" s="10"/>
      <c r="L210" s="27"/>
    </row>
    <row r="211" spans="1:27" ht="15" x14ac:dyDescent="0.25">
      <c r="A211" s="30"/>
      <c r="B211" s="30"/>
      <c r="C211" s="30"/>
      <c r="D211" s="30"/>
      <c r="E211" s="30"/>
      <c r="F211" s="30"/>
      <c r="G211" s="30"/>
      <c r="H211" s="30"/>
      <c r="I211" s="54">
        <f>J207+J208+J209</f>
        <v>725.66</v>
      </c>
      <c r="J211" s="54"/>
      <c r="K211" s="54">
        <f>L207+L208+L209</f>
        <v>15364.509999999998</v>
      </c>
      <c r="L211" s="54"/>
      <c r="O211" s="29">
        <f>J207+J208+J209</f>
        <v>725.66</v>
      </c>
      <c r="P211" s="29">
        <f>L207+L208+L209</f>
        <v>15364.509999999998</v>
      </c>
      <c r="X211">
        <f>IF(Source!BI81&lt;=1,J207+J208+J209-0, 0)</f>
        <v>0</v>
      </c>
      <c r="Y211">
        <f>IF(Source!BI81=2,J207+J208+J209-0, 0)</f>
        <v>0</v>
      </c>
      <c r="Z211">
        <f>IF(Source!BI81=3,J207+J208+J209-0, 0)</f>
        <v>0</v>
      </c>
      <c r="AA211">
        <f>IF(Source!BI81=4,J207+J208+J209,0)</f>
        <v>725.66</v>
      </c>
    </row>
    <row r="212" spans="1:27" ht="128.25" x14ac:dyDescent="0.2">
      <c r="A212" s="22">
        <v>20</v>
      </c>
      <c r="B212" s="22" t="str">
        <f>Source!E82</f>
        <v>20</v>
      </c>
      <c r="C212" s="23" t="str">
        <f>Source!F82</f>
        <v>5.1-162-1</v>
      </c>
      <c r="D212" s="23" t="s">
        <v>182</v>
      </c>
      <c r="E212" s="24" t="str">
        <f>Source!H82</f>
        <v>измерение</v>
      </c>
      <c r="F212" s="10">
        <f>Source!I82</f>
        <v>112</v>
      </c>
      <c r="G212" s="26"/>
      <c r="H212" s="25"/>
      <c r="I212" s="10"/>
      <c r="J212" s="27"/>
      <c r="K212" s="10"/>
      <c r="L212" s="27"/>
      <c r="Q212">
        <f>ROUND((Source!DN82/100)*ROUND((ROUND((Source!AF82*Source!AV82*Source!I82),2)),2), 2)</f>
        <v>622.44000000000005</v>
      </c>
      <c r="R212">
        <f>Source!X82</f>
        <v>14007.05</v>
      </c>
      <c r="S212">
        <f>ROUND((Source!DO82/100)*ROUND((ROUND((Source!AF82*Source!AV82*Source!I82),2)),2), 2)</f>
        <v>580.94000000000005</v>
      </c>
      <c r="T212">
        <f>Source!Y82</f>
        <v>8445.43</v>
      </c>
      <c r="U212">
        <f>ROUND((175/100)*ROUND((ROUND((Source!AE82*Source!AV82*Source!I82),2)),2), 2)</f>
        <v>0</v>
      </c>
      <c r="V212">
        <f>ROUND((157/100)*ROUND(ROUND((ROUND((Source!AE82*Source!AV82*Source!I82),2)*Source!BS82),2), 2), 2)</f>
        <v>0</v>
      </c>
    </row>
    <row r="213" spans="1:27" ht="14.25" x14ac:dyDescent="0.2">
      <c r="A213" s="22"/>
      <c r="B213" s="22"/>
      <c r="C213" s="23"/>
      <c r="D213" s="23" t="s">
        <v>270</v>
      </c>
      <c r="E213" s="24"/>
      <c r="F213" s="10"/>
      <c r="G213" s="26">
        <f>Source!AO82</f>
        <v>5.7</v>
      </c>
      <c r="H213" s="25" t="str">
        <f>Source!DG82</f>
        <v>)*1,3</v>
      </c>
      <c r="I213" s="10">
        <f>Source!AV82</f>
        <v>1</v>
      </c>
      <c r="J213" s="27">
        <f>ROUND((ROUND((Source!AF82*Source!AV82*Source!I82),2)),2)</f>
        <v>829.92</v>
      </c>
      <c r="K213" s="10">
        <f>IF(Source!BA82&lt;&gt; 0, Source!BA82, 1)</f>
        <v>24.82</v>
      </c>
      <c r="L213" s="27">
        <f>Source!S82</f>
        <v>20598.61</v>
      </c>
      <c r="W213">
        <f>J213</f>
        <v>829.92</v>
      </c>
    </row>
    <row r="214" spans="1:27" ht="14.25" x14ac:dyDescent="0.2">
      <c r="A214" s="22"/>
      <c r="B214" s="22"/>
      <c r="C214" s="23"/>
      <c r="D214" s="23" t="s">
        <v>274</v>
      </c>
      <c r="E214" s="24" t="s">
        <v>275</v>
      </c>
      <c r="F214" s="10">
        <f>Source!DN82</f>
        <v>75</v>
      </c>
      <c r="G214" s="26"/>
      <c r="H214" s="25"/>
      <c r="I214" s="10"/>
      <c r="J214" s="27">
        <f>SUM(Q212:Q213)</f>
        <v>622.44000000000005</v>
      </c>
      <c r="K214" s="10">
        <f>Source!BZ82</f>
        <v>68</v>
      </c>
      <c r="L214" s="27">
        <f>SUM(R212:R213)</f>
        <v>14007.05</v>
      </c>
    </row>
    <row r="215" spans="1:27" ht="14.25" x14ac:dyDescent="0.2">
      <c r="A215" s="22"/>
      <c r="B215" s="22"/>
      <c r="C215" s="23"/>
      <c r="D215" s="23" t="s">
        <v>276</v>
      </c>
      <c r="E215" s="24" t="s">
        <v>275</v>
      </c>
      <c r="F215" s="10">
        <f>Source!DO82</f>
        <v>70</v>
      </c>
      <c r="G215" s="26"/>
      <c r="H215" s="25"/>
      <c r="I215" s="10"/>
      <c r="J215" s="27">
        <f>SUM(S212:S214)</f>
        <v>580.94000000000005</v>
      </c>
      <c r="K215" s="10">
        <f>Source!CA82</f>
        <v>41</v>
      </c>
      <c r="L215" s="27">
        <f>SUM(T212:T214)</f>
        <v>8445.43</v>
      </c>
    </row>
    <row r="216" spans="1:27" ht="14.25" x14ac:dyDescent="0.2">
      <c r="A216" s="22"/>
      <c r="B216" s="22"/>
      <c r="C216" s="23"/>
      <c r="D216" s="23" t="s">
        <v>278</v>
      </c>
      <c r="E216" s="24" t="s">
        <v>279</v>
      </c>
      <c r="F216" s="10">
        <f>Source!AQ82</f>
        <v>0.36</v>
      </c>
      <c r="G216" s="26"/>
      <c r="H216" s="25" t="str">
        <f>Source!DI82</f>
        <v>)*1,3</v>
      </c>
      <c r="I216" s="10">
        <f>Source!AV82</f>
        <v>1</v>
      </c>
      <c r="J216" s="27">
        <f>Source!U82</f>
        <v>52.415999999999997</v>
      </c>
      <c r="K216" s="10"/>
      <c r="L216" s="27"/>
    </row>
    <row r="217" spans="1:27" ht="15" x14ac:dyDescent="0.25">
      <c r="A217" s="30"/>
      <c r="B217" s="30"/>
      <c r="C217" s="30"/>
      <c r="D217" s="30"/>
      <c r="E217" s="30"/>
      <c r="F217" s="30"/>
      <c r="G217" s="30"/>
      <c r="H217" s="30"/>
      <c r="I217" s="54">
        <f>J213+J214+J215</f>
        <v>2033.3000000000002</v>
      </c>
      <c r="J217" s="54"/>
      <c r="K217" s="54">
        <f>L213+L214+L215</f>
        <v>43051.090000000004</v>
      </c>
      <c r="L217" s="54"/>
      <c r="O217" s="29">
        <f>J213+J214+J215</f>
        <v>2033.3000000000002</v>
      </c>
      <c r="P217" s="29">
        <f>L213+L214+L215</f>
        <v>43051.090000000004</v>
      </c>
      <c r="X217">
        <f>IF(Source!BI82&lt;=1,J213+J214+J215-0, 0)</f>
        <v>0</v>
      </c>
      <c r="Y217">
        <f>IF(Source!BI82=2,J213+J214+J215-0, 0)</f>
        <v>0</v>
      </c>
      <c r="Z217">
        <f>IF(Source!BI82=3,J213+J214+J215-0, 0)</f>
        <v>0</v>
      </c>
      <c r="AA217">
        <f>IF(Source!BI82=4,J213+J214+J215,0)</f>
        <v>2033.3000000000002</v>
      </c>
    </row>
    <row r="218" spans="1:27" ht="42.75" x14ac:dyDescent="0.2">
      <c r="A218" s="22">
        <v>21</v>
      </c>
      <c r="B218" s="22" t="str">
        <f>Source!E83</f>
        <v>21</v>
      </c>
      <c r="C218" s="23" t="str">
        <f>Source!F83</f>
        <v>5.1-162-2</v>
      </c>
      <c r="D218" s="23" t="s">
        <v>187</v>
      </c>
      <c r="E218" s="24" t="str">
        <f>Source!H83</f>
        <v>измерение</v>
      </c>
      <c r="F218" s="10">
        <f>Source!I83</f>
        <v>28</v>
      </c>
      <c r="G218" s="26"/>
      <c r="H218" s="25"/>
      <c r="I218" s="10"/>
      <c r="J218" s="27"/>
      <c r="K218" s="10"/>
      <c r="L218" s="27"/>
      <c r="Q218">
        <f>ROUND((Source!DN83/100)*ROUND((ROUND((Source!AF83*Source!AV83*Source!I83),2)),2), 2)</f>
        <v>43.13</v>
      </c>
      <c r="R218">
        <f>Source!X83</f>
        <v>970.63</v>
      </c>
      <c r="S218">
        <f>ROUND((Source!DO83/100)*ROUND((ROUND((Source!AF83*Source!AV83*Source!I83),2)),2), 2)</f>
        <v>40.26</v>
      </c>
      <c r="T218">
        <f>Source!Y83</f>
        <v>585.23</v>
      </c>
      <c r="U218">
        <f>ROUND((175/100)*ROUND((ROUND((Source!AE83*Source!AV83*Source!I83),2)),2), 2)</f>
        <v>0</v>
      </c>
      <c r="V218">
        <f>ROUND((157/100)*ROUND(ROUND((ROUND((Source!AE83*Source!AV83*Source!I83),2)*Source!BS83),2), 2), 2)</f>
        <v>0</v>
      </c>
    </row>
    <row r="219" spans="1:27" ht="14.25" x14ac:dyDescent="0.2">
      <c r="A219" s="22"/>
      <c r="B219" s="22"/>
      <c r="C219" s="23"/>
      <c r="D219" s="23" t="s">
        <v>270</v>
      </c>
      <c r="E219" s="24"/>
      <c r="F219" s="10"/>
      <c r="G219" s="26">
        <f>Source!AO83</f>
        <v>1.58</v>
      </c>
      <c r="H219" s="25" t="str">
        <f>Source!DG83</f>
        <v>)*1,3</v>
      </c>
      <c r="I219" s="10">
        <f>Source!AV83</f>
        <v>1</v>
      </c>
      <c r="J219" s="27">
        <f>ROUND((ROUND((Source!AF83*Source!AV83*Source!I83),2)),2)</f>
        <v>57.51</v>
      </c>
      <c r="K219" s="10">
        <f>IF(Source!BA83&lt;&gt; 0, Source!BA83, 1)</f>
        <v>24.82</v>
      </c>
      <c r="L219" s="27">
        <f>Source!S83</f>
        <v>1427.4</v>
      </c>
      <c r="W219">
        <f>J219</f>
        <v>57.51</v>
      </c>
    </row>
    <row r="220" spans="1:27" ht="14.25" x14ac:dyDescent="0.2">
      <c r="A220" s="22"/>
      <c r="B220" s="22"/>
      <c r="C220" s="23"/>
      <c r="D220" s="23" t="s">
        <v>274</v>
      </c>
      <c r="E220" s="24" t="s">
        <v>275</v>
      </c>
      <c r="F220" s="10">
        <f>Source!DN83</f>
        <v>75</v>
      </c>
      <c r="G220" s="26"/>
      <c r="H220" s="25"/>
      <c r="I220" s="10"/>
      <c r="J220" s="27">
        <f>SUM(Q218:Q219)</f>
        <v>43.13</v>
      </c>
      <c r="K220" s="10">
        <f>Source!BZ83</f>
        <v>68</v>
      </c>
      <c r="L220" s="27">
        <f>SUM(R218:R219)</f>
        <v>970.63</v>
      </c>
    </row>
    <row r="221" spans="1:27" ht="14.25" x14ac:dyDescent="0.2">
      <c r="A221" s="22"/>
      <c r="B221" s="22"/>
      <c r="C221" s="23"/>
      <c r="D221" s="23" t="s">
        <v>276</v>
      </c>
      <c r="E221" s="24" t="s">
        <v>275</v>
      </c>
      <c r="F221" s="10">
        <f>Source!DO83</f>
        <v>70</v>
      </c>
      <c r="G221" s="26"/>
      <c r="H221" s="25"/>
      <c r="I221" s="10"/>
      <c r="J221" s="27">
        <f>SUM(S218:S220)</f>
        <v>40.26</v>
      </c>
      <c r="K221" s="10">
        <f>Source!CA83</f>
        <v>41</v>
      </c>
      <c r="L221" s="27">
        <f>SUM(T218:T220)</f>
        <v>585.23</v>
      </c>
    </row>
    <row r="222" spans="1:27" ht="14.25" x14ac:dyDescent="0.2">
      <c r="A222" s="22"/>
      <c r="B222" s="22"/>
      <c r="C222" s="23"/>
      <c r="D222" s="23" t="s">
        <v>278</v>
      </c>
      <c r="E222" s="24" t="s">
        <v>279</v>
      </c>
      <c r="F222" s="10">
        <f>Source!AQ83</f>
        <v>0.1</v>
      </c>
      <c r="G222" s="26"/>
      <c r="H222" s="25" t="str">
        <f>Source!DI83</f>
        <v>)*1,3</v>
      </c>
      <c r="I222" s="10">
        <f>Source!AV83</f>
        <v>1</v>
      </c>
      <c r="J222" s="27">
        <f>Source!U83</f>
        <v>3.64</v>
      </c>
      <c r="K222" s="10"/>
      <c r="L222" s="27"/>
    </row>
    <row r="223" spans="1:27" ht="15" x14ac:dyDescent="0.25">
      <c r="A223" s="30"/>
      <c r="B223" s="30"/>
      <c r="C223" s="30"/>
      <c r="D223" s="30"/>
      <c r="E223" s="30"/>
      <c r="F223" s="30"/>
      <c r="G223" s="30"/>
      <c r="H223" s="30"/>
      <c r="I223" s="54">
        <f>J219+J220+J221</f>
        <v>140.9</v>
      </c>
      <c r="J223" s="54"/>
      <c r="K223" s="54">
        <f>L219+L220+L221</f>
        <v>2983.26</v>
      </c>
      <c r="L223" s="54"/>
      <c r="O223" s="29">
        <f>J219+J220+J221</f>
        <v>140.9</v>
      </c>
      <c r="P223" s="29">
        <f>L219+L220+L221</f>
        <v>2983.26</v>
      </c>
      <c r="X223">
        <f>IF(Source!BI83&lt;=1,J219+J220+J221-0, 0)</f>
        <v>0</v>
      </c>
      <c r="Y223">
        <f>IF(Source!BI83=2,J219+J220+J221-0, 0)</f>
        <v>0</v>
      </c>
      <c r="Z223">
        <f>IF(Source!BI83=3,J219+J220+J221-0, 0)</f>
        <v>0</v>
      </c>
      <c r="AA223">
        <f>IF(Source!BI83=4,J219+J220+J221,0)</f>
        <v>140.9</v>
      </c>
    </row>
    <row r="224" spans="1:27" ht="57" x14ac:dyDescent="0.2">
      <c r="A224" s="22">
        <v>22</v>
      </c>
      <c r="B224" s="22" t="str">
        <f>Source!E84</f>
        <v>22</v>
      </c>
      <c r="C224" s="23" t="str">
        <f>Source!F84</f>
        <v>5.1-156-5</v>
      </c>
      <c r="D224" s="23" t="s">
        <v>191</v>
      </c>
      <c r="E224" s="24" t="str">
        <f>Source!H84</f>
        <v>измерение</v>
      </c>
      <c r="F224" s="10">
        <f>Source!I84</f>
        <v>28</v>
      </c>
      <c r="G224" s="26"/>
      <c r="H224" s="25"/>
      <c r="I224" s="10"/>
      <c r="J224" s="27"/>
      <c r="K224" s="10"/>
      <c r="L224" s="27"/>
      <c r="Q224">
        <f>ROUND((Source!DN84/100)*ROUND((ROUND((Source!AF84*Source!AV84*Source!I84),2)),2), 2)</f>
        <v>194.38</v>
      </c>
      <c r="R224">
        <f>Source!X84</f>
        <v>4374.17</v>
      </c>
      <c r="S224">
        <f>ROUND((Source!DO84/100)*ROUND((ROUND((Source!AF84*Source!AV84*Source!I84),2)),2), 2)</f>
        <v>181.42</v>
      </c>
      <c r="T224">
        <f>Source!Y84</f>
        <v>2637.37</v>
      </c>
      <c r="U224">
        <f>ROUND((175/100)*ROUND((ROUND((Source!AE84*Source!AV84*Source!I84),2)),2), 2)</f>
        <v>0</v>
      </c>
      <c r="V224">
        <f>ROUND((157/100)*ROUND(ROUND((ROUND((Source!AE84*Source!AV84*Source!I84),2)*Source!BS84),2), 2), 2)</f>
        <v>0</v>
      </c>
    </row>
    <row r="225" spans="1:27" ht="14.25" x14ac:dyDescent="0.2">
      <c r="A225" s="22"/>
      <c r="B225" s="22"/>
      <c r="C225" s="23"/>
      <c r="D225" s="23" t="s">
        <v>270</v>
      </c>
      <c r="E225" s="24"/>
      <c r="F225" s="10"/>
      <c r="G225" s="26">
        <f>Source!AO84</f>
        <v>7.12</v>
      </c>
      <c r="H225" s="25" t="str">
        <f>Source!DG84</f>
        <v>)*1,3</v>
      </c>
      <c r="I225" s="10">
        <f>Source!AV84</f>
        <v>1</v>
      </c>
      <c r="J225" s="27">
        <f>ROUND((ROUND((Source!AF84*Source!AV84*Source!I84),2)),2)</f>
        <v>259.17</v>
      </c>
      <c r="K225" s="10">
        <f>IF(Source!BA84&lt;&gt; 0, Source!BA84, 1)</f>
        <v>24.82</v>
      </c>
      <c r="L225" s="27">
        <f>Source!S84</f>
        <v>6432.6</v>
      </c>
      <c r="W225">
        <f>J225</f>
        <v>259.17</v>
      </c>
    </row>
    <row r="226" spans="1:27" ht="14.25" x14ac:dyDescent="0.2">
      <c r="A226" s="22"/>
      <c r="B226" s="22"/>
      <c r="C226" s="23"/>
      <c r="D226" s="23" t="s">
        <v>274</v>
      </c>
      <c r="E226" s="24" t="s">
        <v>275</v>
      </c>
      <c r="F226" s="10">
        <f>Source!DN84</f>
        <v>75</v>
      </c>
      <c r="G226" s="26"/>
      <c r="H226" s="25"/>
      <c r="I226" s="10"/>
      <c r="J226" s="27">
        <f>SUM(Q224:Q225)</f>
        <v>194.38</v>
      </c>
      <c r="K226" s="10">
        <f>Source!BZ84</f>
        <v>68</v>
      </c>
      <c r="L226" s="27">
        <f>SUM(R224:R225)</f>
        <v>4374.17</v>
      </c>
    </row>
    <row r="227" spans="1:27" ht="14.25" x14ac:dyDescent="0.2">
      <c r="A227" s="22"/>
      <c r="B227" s="22"/>
      <c r="C227" s="23"/>
      <c r="D227" s="23" t="s">
        <v>276</v>
      </c>
      <c r="E227" s="24" t="s">
        <v>275</v>
      </c>
      <c r="F227" s="10">
        <f>Source!DO84</f>
        <v>70</v>
      </c>
      <c r="G227" s="26"/>
      <c r="H227" s="25"/>
      <c r="I227" s="10"/>
      <c r="J227" s="27">
        <f>SUM(S224:S226)</f>
        <v>181.42</v>
      </c>
      <c r="K227" s="10">
        <f>Source!CA84</f>
        <v>41</v>
      </c>
      <c r="L227" s="27">
        <f>SUM(T224:T226)</f>
        <v>2637.37</v>
      </c>
    </row>
    <row r="228" spans="1:27" ht="14.25" x14ac:dyDescent="0.2">
      <c r="A228" s="22"/>
      <c r="B228" s="22"/>
      <c r="C228" s="23"/>
      <c r="D228" s="23" t="s">
        <v>278</v>
      </c>
      <c r="E228" s="24" t="s">
        <v>279</v>
      </c>
      <c r="F228" s="10">
        <f>Source!AQ84</f>
        <v>0.45</v>
      </c>
      <c r="G228" s="26"/>
      <c r="H228" s="25" t="str">
        <f>Source!DI84</f>
        <v>)*1,3</v>
      </c>
      <c r="I228" s="10">
        <f>Source!AV84</f>
        <v>1</v>
      </c>
      <c r="J228" s="27">
        <f>Source!U84</f>
        <v>16.380000000000003</v>
      </c>
      <c r="K228" s="10"/>
      <c r="L228" s="27"/>
    </row>
    <row r="229" spans="1:27" ht="15" x14ac:dyDescent="0.25">
      <c r="A229" s="30"/>
      <c r="B229" s="30"/>
      <c r="C229" s="30"/>
      <c r="D229" s="30"/>
      <c r="E229" s="30"/>
      <c r="F229" s="30"/>
      <c r="G229" s="30"/>
      <c r="H229" s="30"/>
      <c r="I229" s="54">
        <f>J225+J226+J227</f>
        <v>634.97</v>
      </c>
      <c r="J229" s="54"/>
      <c r="K229" s="54">
        <f>L225+L226+L227</f>
        <v>13444.14</v>
      </c>
      <c r="L229" s="54"/>
      <c r="O229" s="29">
        <f>J225+J226+J227</f>
        <v>634.97</v>
      </c>
      <c r="P229" s="29">
        <f>L225+L226+L227</f>
        <v>13444.14</v>
      </c>
      <c r="X229">
        <f>IF(Source!BI84&lt;=1,J225+J226+J227-0, 0)</f>
        <v>0</v>
      </c>
      <c r="Y229">
        <f>IF(Source!BI84=2,J225+J226+J227-0, 0)</f>
        <v>0</v>
      </c>
      <c r="Z229">
        <f>IF(Source!BI84=3,J225+J226+J227-0, 0)</f>
        <v>0</v>
      </c>
      <c r="AA229">
        <f>IF(Source!BI84=4,J225+J226+J227,0)</f>
        <v>634.97</v>
      </c>
    </row>
    <row r="231" spans="1:27" ht="15" x14ac:dyDescent="0.25">
      <c r="A231" s="53" t="str">
        <f>CONCATENATE("Итого по разделу: ",IF(Source!G86&lt;&gt;"Новый раздел", Source!G86, ""))</f>
        <v>Итого по разделу: Пусконаладочные работы.</v>
      </c>
      <c r="B231" s="53"/>
      <c r="C231" s="53"/>
      <c r="D231" s="53"/>
      <c r="E231" s="53"/>
      <c r="F231" s="53"/>
      <c r="G231" s="53"/>
      <c r="H231" s="53"/>
      <c r="I231" s="51">
        <f>SUM(O169:O230)</f>
        <v>13617.95</v>
      </c>
      <c r="J231" s="52"/>
      <c r="K231" s="51">
        <f>SUM(P169:P230)</f>
        <v>283849.59000000008</v>
      </c>
      <c r="L231" s="52"/>
    </row>
    <row r="232" spans="1:27" hidden="1" x14ac:dyDescent="0.2">
      <c r="A232" t="s">
        <v>280</v>
      </c>
      <c r="I232">
        <f>SUM(AC169:AC231)</f>
        <v>0</v>
      </c>
      <c r="K232">
        <f>SUM(AD169:AD231)</f>
        <v>0</v>
      </c>
    </row>
    <row r="233" spans="1:27" hidden="1" x14ac:dyDescent="0.2">
      <c r="A233" t="s">
        <v>281</v>
      </c>
      <c r="I233">
        <f>SUM(AE169:AE232)</f>
        <v>0</v>
      </c>
      <c r="K233">
        <f>SUM(AF169:AF232)</f>
        <v>0</v>
      </c>
    </row>
    <row r="235" spans="1:27" ht="16.5" x14ac:dyDescent="0.25">
      <c r="A235" s="55" t="str">
        <f>CONCATENATE("Раздел: ",IF(Source!G116&lt;&gt;"Новый раздел", Source!G116, ""))</f>
        <v>Раздел: Материалы, не учтенные ценником и оборудование.</v>
      </c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1:27" ht="114" x14ac:dyDescent="0.2">
      <c r="A236" s="22">
        <v>23</v>
      </c>
      <c r="B236" s="22" t="str">
        <f>Source!E121</f>
        <v>24</v>
      </c>
      <c r="C236" s="23" t="str">
        <f>Source!F121</f>
        <v>1.23-7-217</v>
      </c>
      <c r="D236" s="23" t="s">
        <v>204</v>
      </c>
      <c r="E236" s="24" t="str">
        <f>Source!H121</f>
        <v>км</v>
      </c>
      <c r="F236" s="10">
        <f>Source!I121</f>
        <v>1.6E-2</v>
      </c>
      <c r="G236" s="26">
        <f>Source!AL121</f>
        <v>99361.96</v>
      </c>
      <c r="H236" s="25" t="str">
        <f>Source!DD121</f>
        <v/>
      </c>
      <c r="I236" s="10">
        <f>Source!AW121</f>
        <v>1</v>
      </c>
      <c r="J236" s="27">
        <f>ROUND((ROUND((Source!AC121*Source!AW121*Source!I121),2)),2)</f>
        <v>1589.79</v>
      </c>
      <c r="K236" s="10">
        <f>IF(Source!BC121&lt;&gt; 0, Source!BC121, 1)</f>
        <v>3.43</v>
      </c>
      <c r="L236" s="27">
        <f>Source!P121</f>
        <v>5452.98</v>
      </c>
      <c r="Q236">
        <f>ROUND((Source!DN121/100)*ROUND((ROUND((Source!AF121*Source!AV121*Source!I121),2)),2), 2)</f>
        <v>0</v>
      </c>
      <c r="R236">
        <f>Source!X121</f>
        <v>0</v>
      </c>
      <c r="S236">
        <f>ROUND((Source!DO121/100)*ROUND((ROUND((Source!AF121*Source!AV121*Source!I121),2)),2), 2)</f>
        <v>0</v>
      </c>
      <c r="T236">
        <f>Source!Y121</f>
        <v>0</v>
      </c>
      <c r="U236">
        <f>ROUND((175/100)*ROUND((ROUND((Source!AE121*Source!AV121*Source!I121),2)),2), 2)</f>
        <v>0</v>
      </c>
      <c r="V236">
        <f>ROUND((157/100)*ROUND(ROUND((ROUND((Source!AE121*Source!AV121*Source!I121),2)*Source!BS121),2), 2), 2)</f>
        <v>0</v>
      </c>
    </row>
    <row r="237" spans="1:27" x14ac:dyDescent="0.2">
      <c r="D237" s="31" t="str">
        <f>"Объем: "&amp;Source!I121&amp;"="&amp;Source!I32&amp;"/"&amp;"10"</f>
        <v>Объем: 0,016=0,16/10</v>
      </c>
    </row>
    <row r="238" spans="1:27" ht="15" x14ac:dyDescent="0.25">
      <c r="A238" s="30"/>
      <c r="B238" s="30"/>
      <c r="C238" s="30"/>
      <c r="D238" s="30"/>
      <c r="E238" s="30"/>
      <c r="F238" s="30"/>
      <c r="G238" s="30"/>
      <c r="H238" s="30"/>
      <c r="I238" s="54">
        <f>J236</f>
        <v>1589.79</v>
      </c>
      <c r="J238" s="54"/>
      <c r="K238" s="54">
        <f>L236</f>
        <v>5452.98</v>
      </c>
      <c r="L238" s="54"/>
      <c r="O238" s="29">
        <f>J236</f>
        <v>1589.79</v>
      </c>
      <c r="P238" s="29">
        <f>L236</f>
        <v>5452.98</v>
      </c>
      <c r="X238">
        <f>IF(Source!BI121&lt;=1,J236-0, 0)</f>
        <v>0</v>
      </c>
      <c r="Y238">
        <f>IF(Source!BI121=2,J236-0, 0)</f>
        <v>1589.79</v>
      </c>
      <c r="Z238">
        <f>IF(Source!BI121=3,J236-0, 0)</f>
        <v>0</v>
      </c>
      <c r="AA238">
        <f>IF(Source!BI121=4,J236,0)</f>
        <v>0</v>
      </c>
    </row>
    <row r="239" spans="1:27" ht="99.75" x14ac:dyDescent="0.2">
      <c r="A239" s="22">
        <v>24</v>
      </c>
      <c r="B239" s="22" t="str">
        <f>Source!E122</f>
        <v>25</v>
      </c>
      <c r="C239" s="23" t="str">
        <f>Source!F122</f>
        <v>1.21-5-281</v>
      </c>
      <c r="D239" s="23" t="s">
        <v>208</v>
      </c>
      <c r="E239" s="24" t="str">
        <f>Source!H122</f>
        <v>компл.</v>
      </c>
      <c r="F239" s="10">
        <f>Source!I122</f>
        <v>17</v>
      </c>
      <c r="G239" s="26">
        <f>Source!AL122</f>
        <v>306.16000000000003</v>
      </c>
      <c r="H239" s="25" t="str">
        <f>Source!DD122</f>
        <v/>
      </c>
      <c r="I239" s="10">
        <f>Source!AW122</f>
        <v>1</v>
      </c>
      <c r="J239" s="27">
        <f>ROUND((ROUND((Source!AC122*Source!AW122*Source!I122),2)),2)</f>
        <v>5204.72</v>
      </c>
      <c r="K239" s="10">
        <f>IF(Source!BC122&lt;&gt; 0, Source!BC122, 1)</f>
        <v>3.02</v>
      </c>
      <c r="L239" s="27">
        <f>Source!P122</f>
        <v>15718.25</v>
      </c>
      <c r="Q239">
        <f>ROUND((Source!DN122/100)*ROUND((ROUND((Source!AF122*Source!AV122*Source!I122),2)),2), 2)</f>
        <v>0</v>
      </c>
      <c r="R239">
        <f>Source!X122</f>
        <v>0</v>
      </c>
      <c r="S239">
        <f>ROUND((Source!DO122/100)*ROUND((ROUND((Source!AF122*Source!AV122*Source!I122),2)),2), 2)</f>
        <v>0</v>
      </c>
      <c r="T239">
        <f>Source!Y122</f>
        <v>0</v>
      </c>
      <c r="U239">
        <f>ROUND((175/100)*ROUND((ROUND((Source!AE122*Source!AV122*Source!I122),2)),2), 2)</f>
        <v>0</v>
      </c>
      <c r="V239">
        <f>ROUND((157/100)*ROUND(ROUND((ROUND((Source!AE122*Source!AV122*Source!I122),2)*Source!BS122),2), 2), 2)</f>
        <v>0</v>
      </c>
    </row>
    <row r="240" spans="1:27" ht="15" x14ac:dyDescent="0.25">
      <c r="A240" s="30"/>
      <c r="B240" s="30"/>
      <c r="C240" s="30"/>
      <c r="D240" s="30"/>
      <c r="E240" s="30"/>
      <c r="F240" s="30"/>
      <c r="G240" s="30"/>
      <c r="H240" s="30"/>
      <c r="I240" s="54">
        <f>J239</f>
        <v>5204.72</v>
      </c>
      <c r="J240" s="54"/>
      <c r="K240" s="54">
        <f>L239</f>
        <v>15718.25</v>
      </c>
      <c r="L240" s="54"/>
      <c r="O240" s="29">
        <f>J239</f>
        <v>5204.72</v>
      </c>
      <c r="P240" s="29">
        <f>L239</f>
        <v>15718.25</v>
      </c>
      <c r="X240">
        <f>IF(Source!BI122&lt;=1,J239-0, 0)</f>
        <v>0</v>
      </c>
      <c r="Y240">
        <f>IF(Source!BI122=2,J239-0, 0)</f>
        <v>5204.72</v>
      </c>
      <c r="Z240">
        <f>IF(Source!BI122=3,J239-0, 0)</f>
        <v>0</v>
      </c>
      <c r="AA240">
        <f>IF(Source!BI122=4,J239,0)</f>
        <v>0</v>
      </c>
    </row>
    <row r="241" spans="1:38" ht="85.5" x14ac:dyDescent="0.2">
      <c r="A241" s="22">
        <v>25</v>
      </c>
      <c r="B241" s="22" t="str">
        <f>Source!E123</f>
        <v>26</v>
      </c>
      <c r="C241" s="23" t="str">
        <f>Source!F123</f>
        <v>1.21-5-251</v>
      </c>
      <c r="D241" s="23" t="s">
        <v>213</v>
      </c>
      <c r="E241" s="24" t="str">
        <f>Source!H123</f>
        <v>компл.</v>
      </c>
      <c r="F241" s="10">
        <f>Source!I123</f>
        <v>3</v>
      </c>
      <c r="G241" s="26">
        <f>Source!AL123</f>
        <v>813.96</v>
      </c>
      <c r="H241" s="25" t="str">
        <f>Source!DD123</f>
        <v/>
      </c>
      <c r="I241" s="10">
        <f>Source!AW123</f>
        <v>1</v>
      </c>
      <c r="J241" s="27">
        <f>ROUND((ROUND((Source!AC123*Source!AW123*Source!I123),2)),2)</f>
        <v>2441.88</v>
      </c>
      <c r="K241" s="10">
        <f>IF(Source!BC123&lt;&gt; 0, Source!BC123, 1)</f>
        <v>2.95</v>
      </c>
      <c r="L241" s="27">
        <f>Source!P123</f>
        <v>7203.55</v>
      </c>
      <c r="Q241">
        <f>ROUND((Source!DN123/100)*ROUND((ROUND((Source!AF123*Source!AV123*Source!I123),2)),2), 2)</f>
        <v>0</v>
      </c>
      <c r="R241">
        <f>Source!X123</f>
        <v>0</v>
      </c>
      <c r="S241">
        <f>ROUND((Source!DO123/100)*ROUND((ROUND((Source!AF123*Source!AV123*Source!I123),2)),2), 2)</f>
        <v>0</v>
      </c>
      <c r="T241">
        <f>Source!Y123</f>
        <v>0</v>
      </c>
      <c r="U241">
        <f>ROUND((175/100)*ROUND((ROUND((Source!AE123*Source!AV123*Source!I123),2)),2), 2)</f>
        <v>0</v>
      </c>
      <c r="V241">
        <f>ROUND((157/100)*ROUND(ROUND((ROUND((Source!AE123*Source!AV123*Source!I123),2)*Source!BS123),2), 2), 2)</f>
        <v>0</v>
      </c>
    </row>
    <row r="242" spans="1:38" ht="15" x14ac:dyDescent="0.25">
      <c r="A242" s="30"/>
      <c r="B242" s="30"/>
      <c r="C242" s="30"/>
      <c r="D242" s="30"/>
      <c r="E242" s="30"/>
      <c r="F242" s="30"/>
      <c r="G242" s="30"/>
      <c r="H242" s="30"/>
      <c r="I242" s="54">
        <f>J241</f>
        <v>2441.88</v>
      </c>
      <c r="J242" s="54"/>
      <c r="K242" s="54">
        <f>L241</f>
        <v>7203.55</v>
      </c>
      <c r="L242" s="54"/>
      <c r="O242" s="29">
        <f>J241</f>
        <v>2441.88</v>
      </c>
      <c r="P242" s="29">
        <f>L241</f>
        <v>7203.55</v>
      </c>
      <c r="X242">
        <f>IF(Source!BI123&lt;=1,J241-0, 0)</f>
        <v>0</v>
      </c>
      <c r="Y242">
        <f>IF(Source!BI123=2,J241-0, 0)</f>
        <v>2441.88</v>
      </c>
      <c r="Z242">
        <f>IF(Source!BI123=3,J241-0, 0)</f>
        <v>0</v>
      </c>
      <c r="AA242">
        <f>IF(Source!BI123=4,J241,0)</f>
        <v>0</v>
      </c>
    </row>
    <row r="243" spans="1:38" ht="114" x14ac:dyDescent="0.2">
      <c r="A243" s="22">
        <v>26</v>
      </c>
      <c r="B243" s="22" t="str">
        <f>Source!E124</f>
        <v>27</v>
      </c>
      <c r="C243" s="23" t="str">
        <f>Source!F124</f>
        <v>1.23-7-219</v>
      </c>
      <c r="D243" s="23" t="s">
        <v>217</v>
      </c>
      <c r="E243" s="24" t="str">
        <f>Source!H124</f>
        <v>км</v>
      </c>
      <c r="F243" s="10">
        <f>Source!I124</f>
        <v>3.2000000000000001E-2</v>
      </c>
      <c r="G243" s="26">
        <f>Source!AL124</f>
        <v>140415.53</v>
      </c>
      <c r="H243" s="25" t="str">
        <f>Source!DD124</f>
        <v/>
      </c>
      <c r="I243" s="10">
        <f>Source!AW124</f>
        <v>1</v>
      </c>
      <c r="J243" s="27">
        <f>ROUND((ROUND((Source!AC124*Source!AW124*Source!I124),2)),2)</f>
        <v>4493.3</v>
      </c>
      <c r="K243" s="10">
        <f>IF(Source!BC124&lt;&gt; 0, Source!BC124, 1)</f>
        <v>4.5199999999999996</v>
      </c>
      <c r="L243" s="27">
        <f>Source!P124</f>
        <v>20309.72</v>
      </c>
      <c r="Q243">
        <f>ROUND((Source!DN124/100)*ROUND((ROUND((Source!AF124*Source!AV124*Source!I124),2)),2), 2)</f>
        <v>0</v>
      </c>
      <c r="R243">
        <f>Source!X124</f>
        <v>0</v>
      </c>
      <c r="S243">
        <f>ROUND((Source!DO124/100)*ROUND((ROUND((Source!AF124*Source!AV124*Source!I124),2)),2), 2)</f>
        <v>0</v>
      </c>
      <c r="T243">
        <f>Source!Y124</f>
        <v>0</v>
      </c>
      <c r="U243">
        <f>ROUND((175/100)*ROUND((ROUND((Source!AE124*Source!AV124*Source!I124),2)),2), 2)</f>
        <v>0</v>
      </c>
      <c r="V243">
        <f>ROUND((157/100)*ROUND(ROUND((ROUND((Source!AE124*Source!AV124*Source!I124),2)*Source!BS124),2), 2), 2)</f>
        <v>0</v>
      </c>
    </row>
    <row r="244" spans="1:38" x14ac:dyDescent="0.2">
      <c r="D244" s="31" t="str">
        <f>"Объем: "&amp;Source!I124&amp;"="&amp;Source!I34&amp;"/"&amp;"10"</f>
        <v>Объем: 0,032=0,32/10</v>
      </c>
    </row>
    <row r="245" spans="1:38" ht="15" x14ac:dyDescent="0.25">
      <c r="A245" s="30"/>
      <c r="B245" s="30"/>
      <c r="C245" s="30"/>
      <c r="D245" s="30"/>
      <c r="E245" s="30"/>
      <c r="F245" s="30"/>
      <c r="G245" s="30"/>
      <c r="H245" s="30"/>
      <c r="I245" s="54">
        <f>J243</f>
        <v>4493.3</v>
      </c>
      <c r="J245" s="54"/>
      <c r="K245" s="54">
        <f>L243</f>
        <v>20309.72</v>
      </c>
      <c r="L245" s="54"/>
      <c r="O245" s="29">
        <f>J243</f>
        <v>4493.3</v>
      </c>
      <c r="P245" s="29">
        <f>L243</f>
        <v>20309.72</v>
      </c>
      <c r="X245">
        <f>IF(Source!BI124&lt;=1,J243-0, 0)</f>
        <v>0</v>
      </c>
      <c r="Y245">
        <f>IF(Source!BI124=2,J243-0, 0)</f>
        <v>4493.3</v>
      </c>
      <c r="Z245">
        <f>IF(Source!BI124=3,J243-0, 0)</f>
        <v>0</v>
      </c>
      <c r="AA245">
        <f>IF(Source!BI124=4,J243,0)</f>
        <v>0</v>
      </c>
    </row>
    <row r="246" spans="1:38" ht="28.5" x14ac:dyDescent="0.2">
      <c r="A246" s="22">
        <v>27</v>
      </c>
      <c r="B246" s="22" t="str">
        <f>Source!E125</f>
        <v>28</v>
      </c>
      <c r="C246" s="23" t="str">
        <f>Source!F125</f>
        <v>1.23-16-1</v>
      </c>
      <c r="D246" s="23" t="s">
        <v>221</v>
      </c>
      <c r="E246" s="24" t="str">
        <f>Source!H125</f>
        <v>т</v>
      </c>
      <c r="F246" s="10">
        <f>Source!I125</f>
        <v>0.03</v>
      </c>
      <c r="G246" s="26">
        <f>Source!AL125</f>
        <v>31290.95</v>
      </c>
      <c r="H246" s="25" t="str">
        <f>Source!DD125</f>
        <v/>
      </c>
      <c r="I246" s="10">
        <f>Source!AW125</f>
        <v>1</v>
      </c>
      <c r="J246" s="27">
        <f>ROUND((ROUND((Source!AC125*Source!AW125*Source!I125),2)),2)</f>
        <v>938.73</v>
      </c>
      <c r="K246" s="10">
        <f>IF(Source!BC125&lt;&gt; 0, Source!BC125, 1)</f>
        <v>6.31</v>
      </c>
      <c r="L246" s="27">
        <f>Source!P125</f>
        <v>5923.39</v>
      </c>
      <c r="Q246">
        <f>ROUND((Source!DN125/100)*ROUND((ROUND((Source!AF125*Source!AV125*Source!I125),2)),2), 2)</f>
        <v>0</v>
      </c>
      <c r="R246">
        <f>Source!X125</f>
        <v>0</v>
      </c>
      <c r="S246">
        <f>ROUND((Source!DO125/100)*ROUND((ROUND((Source!AF125*Source!AV125*Source!I125),2)),2), 2)</f>
        <v>0</v>
      </c>
      <c r="T246">
        <f>Source!Y125</f>
        <v>0</v>
      </c>
      <c r="U246">
        <f>ROUND((175/100)*ROUND((ROUND((Source!AE125*Source!AV125*Source!I125),2)),2), 2)</f>
        <v>0</v>
      </c>
      <c r="V246">
        <f>ROUND((157/100)*ROUND(ROUND((ROUND((Source!AE125*Source!AV125*Source!I125),2)*Source!BS125),2), 2), 2)</f>
        <v>0</v>
      </c>
    </row>
    <row r="247" spans="1:38" ht="15" x14ac:dyDescent="0.25">
      <c r="A247" s="30"/>
      <c r="B247" s="30"/>
      <c r="C247" s="30"/>
      <c r="D247" s="30"/>
      <c r="E247" s="30"/>
      <c r="F247" s="30"/>
      <c r="G247" s="30"/>
      <c r="H247" s="30"/>
      <c r="I247" s="54">
        <f>J246</f>
        <v>938.73</v>
      </c>
      <c r="J247" s="54"/>
      <c r="K247" s="54">
        <f>L246</f>
        <v>5923.39</v>
      </c>
      <c r="L247" s="54"/>
      <c r="O247" s="29">
        <f>J246</f>
        <v>938.73</v>
      </c>
      <c r="P247" s="29">
        <f>L246</f>
        <v>5923.39</v>
      </c>
      <c r="X247">
        <f>IF(Source!BI125&lt;=1,J246-0, 0)</f>
        <v>0</v>
      </c>
      <c r="Y247">
        <f>IF(Source!BI125=2,J246-0, 0)</f>
        <v>938.73</v>
      </c>
      <c r="Z247">
        <f>IF(Source!BI125=3,J246-0, 0)</f>
        <v>0</v>
      </c>
      <c r="AA247">
        <f>IF(Source!BI125=4,J246,0)</f>
        <v>0</v>
      </c>
    </row>
    <row r="248" spans="1:38" ht="85.5" x14ac:dyDescent="0.2">
      <c r="A248" s="22">
        <v>28</v>
      </c>
      <c r="B248" s="22" t="str">
        <f>Source!E126</f>
        <v>29</v>
      </c>
      <c r="C248" s="23" t="str">
        <f>Source!F126</f>
        <v>Накладные №12 от 18.07.2019,  №10 от 10.08.2018.</v>
      </c>
      <c r="D248" s="23" t="s">
        <v>224</v>
      </c>
      <c r="E248" s="24" t="str">
        <f>Source!H126</f>
        <v>КОМПЛЕКТ</v>
      </c>
      <c r="F248" s="10">
        <f>Source!I126</f>
        <v>1</v>
      </c>
      <c r="G248" s="26">
        <f>Source!AL126</f>
        <v>1563409.86</v>
      </c>
      <c r="H248" s="25" t="str">
        <f>Source!DD126</f>
        <v/>
      </c>
      <c r="I248" s="10">
        <f>Source!AW126</f>
        <v>1</v>
      </c>
      <c r="J248" s="27">
        <f>ROUND((ROUND((Source!AC126*Source!AW126*Source!I126),2)),2)</f>
        <v>1563409.86</v>
      </c>
      <c r="K248" s="10">
        <f>IF(Source!BC126&lt;&gt; 0, Source!BC126, 1)</f>
        <v>1</v>
      </c>
      <c r="L248" s="27">
        <f>Source!P126</f>
        <v>1563409.86</v>
      </c>
      <c r="Q248">
        <f>ROUND((Source!DN126/100)*ROUND((ROUND((Source!AF126*Source!AV126*Source!I126),2)),2), 2)</f>
        <v>0</v>
      </c>
      <c r="R248">
        <f>Source!X126</f>
        <v>0</v>
      </c>
      <c r="S248">
        <f>ROUND((Source!DO126/100)*ROUND((ROUND((Source!AF126*Source!AV126*Source!I126),2)),2), 2)</f>
        <v>0</v>
      </c>
      <c r="T248">
        <f>Source!Y126</f>
        <v>0</v>
      </c>
      <c r="U248">
        <f>ROUND((175/100)*ROUND((ROUND((Source!AE126*Source!AV126*Source!I126),2)),2), 2)</f>
        <v>0</v>
      </c>
      <c r="V248">
        <f>ROUND((157/100)*ROUND(ROUND((ROUND((Source!AE126*Source!AV126*Source!I126),2)*Source!BS126),2), 2), 2)</f>
        <v>0</v>
      </c>
    </row>
    <row r="249" spans="1:38" ht="15" x14ac:dyDescent="0.25">
      <c r="A249" s="30"/>
      <c r="B249" s="30"/>
      <c r="C249" s="30"/>
      <c r="D249" s="30"/>
      <c r="E249" s="30"/>
      <c r="F249" s="30"/>
      <c r="G249" s="30"/>
      <c r="H249" s="30"/>
      <c r="I249" s="54">
        <f>J248</f>
        <v>1563409.86</v>
      </c>
      <c r="J249" s="54"/>
      <c r="K249" s="54">
        <f>L248</f>
        <v>1563409.86</v>
      </c>
      <c r="L249" s="54"/>
      <c r="O249" s="29">
        <f>J248</f>
        <v>1563409.86</v>
      </c>
      <c r="P249" s="29">
        <f>L248</f>
        <v>1563409.86</v>
      </c>
      <c r="X249">
        <f>IF(Source!BI126&lt;=1,J248-0, 0)</f>
        <v>0</v>
      </c>
      <c r="Y249">
        <f>IF(Source!BI126=2,J248-0, 0)</f>
        <v>0</v>
      </c>
      <c r="Z249">
        <f>IF(Source!BI126=3,J248-0, 0)</f>
        <v>0</v>
      </c>
      <c r="AA249">
        <f>IF(Source!BI126=4,J248,0)</f>
        <v>1563409.86</v>
      </c>
    </row>
    <row r="251" spans="1:38" ht="15" x14ac:dyDescent="0.25">
      <c r="A251" s="53" t="str">
        <f>CONCATENATE("Итого по разделу: ",IF(Source!G128&lt;&gt;"Новый раздел", Source!G128, ""))</f>
        <v>Итого по разделу: Материалы, не учтенные ценником и оборудование.</v>
      </c>
      <c r="B251" s="53"/>
      <c r="C251" s="53"/>
      <c r="D251" s="53"/>
      <c r="E251" s="53"/>
      <c r="F251" s="53"/>
      <c r="G251" s="53"/>
      <c r="H251" s="53"/>
      <c r="I251" s="51">
        <f>SUM(O235:O250)</f>
        <v>1578078.28</v>
      </c>
      <c r="J251" s="52"/>
      <c r="K251" s="51">
        <f>SUM(P235:P250)</f>
        <v>1618017.75</v>
      </c>
      <c r="L251" s="52"/>
    </row>
    <row r="252" spans="1:38" hidden="1" x14ac:dyDescent="0.2">
      <c r="A252" t="s">
        <v>280</v>
      </c>
      <c r="I252">
        <f>SUM(AC235:AC251)</f>
        <v>0</v>
      </c>
      <c r="K252">
        <f>SUM(AD235:AD251)</f>
        <v>0</v>
      </c>
    </row>
    <row r="253" spans="1:38" hidden="1" x14ac:dyDescent="0.2">
      <c r="A253" t="s">
        <v>281</v>
      </c>
      <c r="I253">
        <f>SUM(AE235:AE252)</f>
        <v>0</v>
      </c>
      <c r="K253">
        <f>SUM(AF235:AF252)</f>
        <v>0</v>
      </c>
    </row>
    <row r="255" spans="1:38" ht="15" x14ac:dyDescent="0.25">
      <c r="A255" s="53" t="str">
        <f>CONCATENATE("Итого по локальной смете: ",IF(Source!G158&lt;&gt;"Новая локальная смета", Source!G158, ""))</f>
        <v>Итого по локальной смете: ТП-521. Реконструкция. Замена 8 панелей в РУ-0,4 кВ.</v>
      </c>
      <c r="B255" s="53"/>
      <c r="C255" s="53"/>
      <c r="D255" s="53"/>
      <c r="E255" s="53"/>
      <c r="F255" s="53"/>
      <c r="G255" s="53"/>
      <c r="H255" s="53"/>
      <c r="I255" s="51">
        <f>SUM(O41:O254)</f>
        <v>1607579.31</v>
      </c>
      <c r="J255" s="52"/>
      <c r="K255" s="51">
        <f>SUM(P41:P254)</f>
        <v>2125531.38</v>
      </c>
      <c r="L255" s="52"/>
      <c r="AL255" s="33" t="str">
        <f>CONCATENATE("Итого по локальной смете: ",IF(Source!G158&lt;&gt;"Новая локальная смета", Source!G158, ""))</f>
        <v>Итого по локальной смете: ТП-521. Реконструкция. Замена 8 панелей в РУ-0,4 кВ.</v>
      </c>
    </row>
    <row r="256" spans="1:38" hidden="1" x14ac:dyDescent="0.2">
      <c r="A256" t="s">
        <v>280</v>
      </c>
      <c r="I256">
        <f>SUM(AC41:AC255)</f>
        <v>0</v>
      </c>
      <c r="K256">
        <f>SUM(AD41:AD255)</f>
        <v>0</v>
      </c>
    </row>
    <row r="257" spans="1:38" hidden="1" x14ac:dyDescent="0.2">
      <c r="A257" t="s">
        <v>281</v>
      </c>
      <c r="I257">
        <f>SUM(AE41:AE256)</f>
        <v>0</v>
      </c>
      <c r="K257">
        <f>SUM(AF41:AF256)</f>
        <v>0</v>
      </c>
    </row>
    <row r="259" spans="1:38" ht="15" x14ac:dyDescent="0.25">
      <c r="A259" s="53" t="str">
        <f>CONCATENATE("Итого по смете: ",IF(Source!G188&lt;&gt;"Новый объект", Source!G188, ""))</f>
        <v xml:space="preserve">Итого по смете: ТП-521. Замена оборудования- РУ-0,4 кВ </v>
      </c>
      <c r="B259" s="53"/>
      <c r="C259" s="53"/>
      <c r="D259" s="53"/>
      <c r="E259" s="53"/>
      <c r="F259" s="53"/>
      <c r="G259" s="53"/>
      <c r="H259" s="53"/>
      <c r="I259" s="51">
        <f>SUM(O1:O258)</f>
        <v>1607579.31</v>
      </c>
      <c r="J259" s="52"/>
      <c r="K259" s="51">
        <f>SUM(P1:P258)</f>
        <v>2125531.38</v>
      </c>
      <c r="L259" s="52"/>
      <c r="AL259" s="33" t="str">
        <f>CONCATENATE("Итого по смете: ",IF(Source!G188&lt;&gt;"Новый объект", Source!G188, ""))</f>
        <v xml:space="preserve">Итого по смете: ТП-521. Замена оборудования- РУ-0,4 кВ </v>
      </c>
    </row>
    <row r="260" spans="1:38" hidden="1" x14ac:dyDescent="0.2">
      <c r="A260" t="s">
        <v>280</v>
      </c>
      <c r="I260">
        <f>SUM(AC1:AC259)</f>
        <v>0</v>
      </c>
      <c r="K260">
        <f>SUM(AD1:AD259)</f>
        <v>0</v>
      </c>
    </row>
    <row r="261" spans="1:38" hidden="1" x14ac:dyDescent="0.2">
      <c r="A261" t="s">
        <v>281</v>
      </c>
      <c r="I261">
        <f>SUM(AE1:AE260)</f>
        <v>0</v>
      </c>
      <c r="K261">
        <f>SUM(AF1:AF260)</f>
        <v>0</v>
      </c>
    </row>
    <row r="262" spans="1:38" ht="14.25" x14ac:dyDescent="0.2">
      <c r="D262" s="47" t="str">
        <f>Source!H217</f>
        <v>Итого</v>
      </c>
      <c r="E262" s="47"/>
      <c r="F262" s="47"/>
      <c r="G262" s="47"/>
      <c r="H262" s="47"/>
      <c r="I262" s="47"/>
      <c r="J262" s="47"/>
      <c r="K262" s="48">
        <f>IF(Source!F217=0, "", Source!F217)</f>
        <v>2125531.38</v>
      </c>
      <c r="L262" s="48"/>
    </row>
    <row r="263" spans="1:38" ht="14.25" x14ac:dyDescent="0.2">
      <c r="D263" s="47" t="str">
        <f>Source!H218</f>
        <v>НДС 20%</v>
      </c>
      <c r="E263" s="47"/>
      <c r="F263" s="47"/>
      <c r="G263" s="47"/>
      <c r="H263" s="47"/>
      <c r="I263" s="47"/>
      <c r="J263" s="47"/>
      <c r="K263" s="48">
        <f>IF(Source!F218=0, "", Source!F218)</f>
        <v>425106.28</v>
      </c>
      <c r="L263" s="48"/>
    </row>
    <row r="264" spans="1:38" ht="14.25" x14ac:dyDescent="0.2">
      <c r="D264" s="47" t="str">
        <f>Source!H219</f>
        <v>Итого с НДС</v>
      </c>
      <c r="E264" s="47"/>
      <c r="F264" s="47"/>
      <c r="G264" s="47"/>
      <c r="H264" s="47"/>
      <c r="I264" s="47"/>
      <c r="J264" s="47"/>
      <c r="K264" s="48">
        <f>IF(Source!F219=0, "", Source!F219)</f>
        <v>2550637.66</v>
      </c>
      <c r="L264" s="48"/>
    </row>
    <row r="267" spans="1:38" ht="14.25" x14ac:dyDescent="0.2">
      <c r="A267" s="11"/>
      <c r="B267" s="49" t="s">
        <v>318</v>
      </c>
      <c r="C267" s="49"/>
      <c r="D267" s="34" t="str">
        <f>IF(Source!AM12&lt;&gt;"", Source!AM12," ")</f>
        <v xml:space="preserve"> </v>
      </c>
      <c r="E267" s="34"/>
      <c r="F267" s="34"/>
      <c r="G267" s="34"/>
      <c r="H267" s="34"/>
      <c r="I267" s="50" t="str">
        <f>IF(Source!AL12&lt;&gt;"", Source!AL12," ")</f>
        <v xml:space="preserve"> </v>
      </c>
      <c r="J267" s="50"/>
      <c r="K267" s="50"/>
    </row>
    <row r="268" spans="1:38" ht="14.25" x14ac:dyDescent="0.2">
      <c r="A268" s="11"/>
      <c r="B268" s="11"/>
      <c r="C268" s="11"/>
      <c r="D268" s="46" t="s">
        <v>284</v>
      </c>
      <c r="E268" s="46"/>
      <c r="F268" s="46"/>
      <c r="G268" s="46"/>
      <c r="H268" s="46"/>
      <c r="I268" s="11"/>
      <c r="J268" s="11"/>
      <c r="K268" s="11"/>
    </row>
    <row r="269" spans="1:38" ht="14.25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1:38" ht="14.25" x14ac:dyDescent="0.2">
      <c r="A270" s="11"/>
      <c r="B270" s="49" t="s">
        <v>319</v>
      </c>
      <c r="C270" s="49"/>
      <c r="D270" s="34" t="str">
        <f>IF(Source!AI12&lt;&gt;"", Source!AI12," ")</f>
        <v>Директор</v>
      </c>
      <c r="E270" s="34"/>
      <c r="F270" s="34"/>
      <c r="G270" s="34"/>
      <c r="H270" s="34"/>
      <c r="I270" s="50" t="str">
        <f>IF(Source!AH12&lt;&gt;"", Source!AH12," ")</f>
        <v>А.П. Воробьева</v>
      </c>
      <c r="J270" s="50"/>
      <c r="K270" s="50"/>
    </row>
    <row r="271" spans="1:38" ht="14.25" x14ac:dyDescent="0.2">
      <c r="A271" s="11"/>
      <c r="B271" s="11"/>
      <c r="C271" s="11"/>
      <c r="D271" s="46" t="s">
        <v>284</v>
      </c>
      <c r="E271" s="46"/>
      <c r="F271" s="46"/>
      <c r="G271" s="46"/>
      <c r="H271" s="46"/>
      <c r="I271" s="11"/>
      <c r="J271" s="11"/>
      <c r="K271" s="11"/>
    </row>
  </sheetData>
  <mergeCells count="134">
    <mergeCell ref="I2:L2"/>
    <mergeCell ref="I3:L3"/>
    <mergeCell ref="I4:L4"/>
    <mergeCell ref="J6:L6"/>
    <mergeCell ref="H7:I7"/>
    <mergeCell ref="J7:L7"/>
    <mergeCell ref="C14:H14"/>
    <mergeCell ref="J14:L15"/>
    <mergeCell ref="C15:H15"/>
    <mergeCell ref="C16:H16"/>
    <mergeCell ref="J16:L17"/>
    <mergeCell ref="C17:H17"/>
    <mergeCell ref="J8:L9"/>
    <mergeCell ref="C9:H9"/>
    <mergeCell ref="C10:H10"/>
    <mergeCell ref="J10:L11"/>
    <mergeCell ref="C11:H11"/>
    <mergeCell ref="C12:H12"/>
    <mergeCell ref="J12:L13"/>
    <mergeCell ref="C13:H13"/>
    <mergeCell ref="H22:I22"/>
    <mergeCell ref="J22:L22"/>
    <mergeCell ref="G24:G26"/>
    <mergeCell ref="H24:H26"/>
    <mergeCell ref="I24:J25"/>
    <mergeCell ref="A29:L29"/>
    <mergeCell ref="C18:H18"/>
    <mergeCell ref="G19:I19"/>
    <mergeCell ref="J19:L19"/>
    <mergeCell ref="G20:H20"/>
    <mergeCell ref="J20:L20"/>
    <mergeCell ref="J21:L21"/>
    <mergeCell ref="I34:I39"/>
    <mergeCell ref="J34:J39"/>
    <mergeCell ref="K34:K39"/>
    <mergeCell ref="L34:L39"/>
    <mergeCell ref="A35:A39"/>
    <mergeCell ref="B35:B39"/>
    <mergeCell ref="A30:L30"/>
    <mergeCell ref="H32:I32"/>
    <mergeCell ref="A33:L33"/>
    <mergeCell ref="A34:B34"/>
    <mergeCell ref="C34:C39"/>
    <mergeCell ref="D34:D39"/>
    <mergeCell ref="E34:E39"/>
    <mergeCell ref="F34:F39"/>
    <mergeCell ref="G34:G39"/>
    <mergeCell ref="H34:H39"/>
    <mergeCell ref="K82:L82"/>
    <mergeCell ref="I82:J82"/>
    <mergeCell ref="K93:L93"/>
    <mergeCell ref="I93:J93"/>
    <mergeCell ref="K103:L103"/>
    <mergeCell ref="I103:J103"/>
    <mergeCell ref="A42:L42"/>
    <mergeCell ref="K52:L52"/>
    <mergeCell ref="I52:J52"/>
    <mergeCell ref="K62:L62"/>
    <mergeCell ref="I62:J62"/>
    <mergeCell ref="K71:L71"/>
    <mergeCell ref="I71:J71"/>
    <mergeCell ref="K143:L143"/>
    <mergeCell ref="I143:J143"/>
    <mergeCell ref="K153:L153"/>
    <mergeCell ref="I153:J153"/>
    <mergeCell ref="K163:L163"/>
    <mergeCell ref="I163:J163"/>
    <mergeCell ref="K114:L114"/>
    <mergeCell ref="I114:J114"/>
    <mergeCell ref="K124:L124"/>
    <mergeCell ref="I124:J124"/>
    <mergeCell ref="K135:L135"/>
    <mergeCell ref="I135:J135"/>
    <mergeCell ref="K181:L181"/>
    <mergeCell ref="I181:J181"/>
    <mergeCell ref="K187:L187"/>
    <mergeCell ref="I187:J187"/>
    <mergeCell ref="K193:L193"/>
    <mergeCell ref="I193:J193"/>
    <mergeCell ref="K165:L165"/>
    <mergeCell ref="I165:J165"/>
    <mergeCell ref="A165:H165"/>
    <mergeCell ref="A169:L169"/>
    <mergeCell ref="K175:L175"/>
    <mergeCell ref="I175:J175"/>
    <mergeCell ref="K217:L217"/>
    <mergeCell ref="I217:J217"/>
    <mergeCell ref="K223:L223"/>
    <mergeCell ref="I223:J223"/>
    <mergeCell ref="K229:L229"/>
    <mergeCell ref="I229:J229"/>
    <mergeCell ref="K199:L199"/>
    <mergeCell ref="I199:J199"/>
    <mergeCell ref="K205:L205"/>
    <mergeCell ref="I205:J205"/>
    <mergeCell ref="K211:L211"/>
    <mergeCell ref="I211:J211"/>
    <mergeCell ref="K240:L240"/>
    <mergeCell ref="I240:J240"/>
    <mergeCell ref="K242:L242"/>
    <mergeCell ref="I242:J242"/>
    <mergeCell ref="K245:L245"/>
    <mergeCell ref="I245:J245"/>
    <mergeCell ref="K231:L231"/>
    <mergeCell ref="I231:J231"/>
    <mergeCell ref="A231:H231"/>
    <mergeCell ref="A235:L235"/>
    <mergeCell ref="K238:L238"/>
    <mergeCell ref="I238:J238"/>
    <mergeCell ref="A251:H251"/>
    <mergeCell ref="K255:L255"/>
    <mergeCell ref="I255:J255"/>
    <mergeCell ref="A255:H255"/>
    <mergeCell ref="K259:L259"/>
    <mergeCell ref="I259:J259"/>
    <mergeCell ref="A259:H259"/>
    <mergeCell ref="K247:L247"/>
    <mergeCell ref="I247:J247"/>
    <mergeCell ref="K249:L249"/>
    <mergeCell ref="I249:J249"/>
    <mergeCell ref="K251:L251"/>
    <mergeCell ref="I251:J251"/>
    <mergeCell ref="B267:C267"/>
    <mergeCell ref="I267:K267"/>
    <mergeCell ref="D268:H268"/>
    <mergeCell ref="B270:C270"/>
    <mergeCell ref="I270:K270"/>
    <mergeCell ref="D271:H271"/>
    <mergeCell ref="D262:J262"/>
    <mergeCell ref="K262:L262"/>
    <mergeCell ref="D263:J263"/>
    <mergeCell ref="K263:L263"/>
    <mergeCell ref="D264:J264"/>
    <mergeCell ref="K264:L264"/>
  </mergeCells>
  <pageMargins left="0.4" right="0.2" top="0.2" bottom="0.4" header="0.2" footer="0.2"/>
  <pageSetup paperSize="9" scale="66" fitToHeight="0" orientation="portrait" horizontalDpi="0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selection sqref="A1:D1"/>
    </sheetView>
  </sheetViews>
  <sheetFormatPr defaultRowHeight="12.75" x14ac:dyDescent="0.2"/>
  <cols>
    <col min="1" max="1" width="5.7109375" customWidth="1"/>
    <col min="2" max="2" width="22.7109375" customWidth="1"/>
    <col min="10" max="11" width="11.140625" customWidth="1"/>
  </cols>
  <sheetData>
    <row r="1" spans="1:12" ht="14.25" x14ac:dyDescent="0.2">
      <c r="A1" s="141" t="str">
        <f>Source!B1</f>
        <v>Smeta.RU  (495) 974-1589</v>
      </c>
      <c r="B1" s="141"/>
      <c r="C1" s="141"/>
      <c r="D1" s="141"/>
      <c r="E1" s="11"/>
      <c r="F1" s="11"/>
      <c r="G1" s="11"/>
      <c r="H1" s="142" t="s">
        <v>320</v>
      </c>
      <c r="I1" s="142"/>
      <c r="J1" s="142"/>
      <c r="K1" s="142"/>
      <c r="L1" s="142"/>
    </row>
    <row r="2" spans="1:12" ht="14.25" x14ac:dyDescent="0.2">
      <c r="A2" s="11"/>
      <c r="B2" s="11"/>
      <c r="C2" s="11"/>
      <c r="D2" s="11"/>
      <c r="E2" s="11"/>
      <c r="F2" s="11"/>
      <c r="G2" s="11"/>
      <c r="H2" s="142" t="s">
        <v>287</v>
      </c>
      <c r="I2" s="142"/>
      <c r="J2" s="142"/>
      <c r="K2" s="142"/>
      <c r="L2" s="142"/>
    </row>
    <row r="3" spans="1:12" ht="14.25" x14ac:dyDescent="0.2">
      <c r="A3" s="11"/>
      <c r="B3" s="11"/>
      <c r="C3" s="11"/>
      <c r="D3" s="11"/>
      <c r="E3" s="11"/>
      <c r="F3" s="11"/>
      <c r="G3" s="11"/>
      <c r="H3" s="142" t="s">
        <v>288</v>
      </c>
      <c r="I3" s="142"/>
      <c r="J3" s="142"/>
      <c r="K3" s="142"/>
      <c r="L3" s="142"/>
    </row>
    <row r="4" spans="1:12" ht="14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04" t="s">
        <v>321</v>
      </c>
      <c r="L4" s="106"/>
    </row>
    <row r="5" spans="1:12" ht="14.25" x14ac:dyDescent="0.2">
      <c r="A5" s="11"/>
      <c r="B5" s="11"/>
      <c r="C5" s="11"/>
      <c r="D5" s="11"/>
      <c r="E5" s="11"/>
      <c r="F5" s="11"/>
      <c r="G5" s="11"/>
      <c r="H5" s="11"/>
      <c r="I5" s="65" t="s">
        <v>290</v>
      </c>
      <c r="J5" s="65"/>
      <c r="K5" s="104">
        <v>322001</v>
      </c>
      <c r="L5" s="106"/>
    </row>
    <row r="6" spans="1:12" ht="14.25" x14ac:dyDescent="0.2">
      <c r="A6" s="65" t="s">
        <v>322</v>
      </c>
      <c r="B6" s="65"/>
      <c r="C6" s="138"/>
      <c r="D6" s="138"/>
      <c r="E6" s="138"/>
      <c r="F6" s="138"/>
      <c r="G6" s="138"/>
      <c r="H6" s="138"/>
      <c r="I6" s="138"/>
      <c r="J6" s="10" t="s">
        <v>293</v>
      </c>
      <c r="K6" s="104"/>
      <c r="L6" s="106"/>
    </row>
    <row r="7" spans="1:12" ht="14.25" x14ac:dyDescent="0.2">
      <c r="A7" s="11"/>
      <c r="B7" s="11"/>
      <c r="C7" s="46" t="s">
        <v>294</v>
      </c>
      <c r="D7" s="46"/>
      <c r="E7" s="46"/>
      <c r="F7" s="46"/>
      <c r="G7" s="46"/>
      <c r="H7" s="46"/>
      <c r="I7" s="46"/>
      <c r="J7" s="11"/>
      <c r="K7" s="35"/>
      <c r="L7" s="41"/>
    </row>
    <row r="8" spans="1:12" ht="14.25" x14ac:dyDescent="0.2">
      <c r="A8" s="65" t="s">
        <v>323</v>
      </c>
      <c r="B8" s="65"/>
      <c r="C8" s="138"/>
      <c r="D8" s="138"/>
      <c r="E8" s="138"/>
      <c r="F8" s="138"/>
      <c r="G8" s="138"/>
      <c r="H8" s="138"/>
      <c r="I8" s="34"/>
      <c r="J8" s="10" t="s">
        <v>293</v>
      </c>
      <c r="K8" s="139"/>
      <c r="L8" s="140"/>
    </row>
    <row r="9" spans="1:12" ht="14.25" x14ac:dyDescent="0.2">
      <c r="A9" s="11"/>
      <c r="B9" s="11"/>
      <c r="C9" s="46" t="s">
        <v>294</v>
      </c>
      <c r="D9" s="46"/>
      <c r="E9" s="46"/>
      <c r="F9" s="46"/>
      <c r="G9" s="46"/>
      <c r="H9" s="46"/>
      <c r="I9" s="46"/>
      <c r="J9" s="11"/>
      <c r="K9" s="35"/>
      <c r="L9" s="41"/>
    </row>
    <row r="10" spans="1:12" ht="14.25" x14ac:dyDescent="0.2">
      <c r="A10" s="65" t="s">
        <v>324</v>
      </c>
      <c r="B10" s="65"/>
      <c r="C10" s="138"/>
      <c r="D10" s="138"/>
      <c r="E10" s="138"/>
      <c r="F10" s="138"/>
      <c r="G10" s="138"/>
      <c r="H10" s="138"/>
      <c r="I10" s="138"/>
      <c r="J10" s="10" t="s">
        <v>293</v>
      </c>
      <c r="K10" s="139"/>
      <c r="L10" s="140"/>
    </row>
    <row r="11" spans="1:12" ht="14.25" x14ac:dyDescent="0.2">
      <c r="A11" s="11"/>
      <c r="B11" s="11"/>
      <c r="C11" s="46" t="s">
        <v>294</v>
      </c>
      <c r="D11" s="46"/>
      <c r="E11" s="46"/>
      <c r="F11" s="46"/>
      <c r="G11" s="46"/>
      <c r="H11" s="46"/>
      <c r="I11" s="46"/>
      <c r="J11" s="11"/>
      <c r="K11" s="35"/>
      <c r="L11" s="41"/>
    </row>
    <row r="12" spans="1:12" ht="14.25" x14ac:dyDescent="0.2">
      <c r="A12" s="65" t="s">
        <v>325</v>
      </c>
      <c r="B12" s="65"/>
      <c r="C12" s="138"/>
      <c r="D12" s="138"/>
      <c r="E12" s="138"/>
      <c r="F12" s="138"/>
      <c r="G12" s="138"/>
      <c r="H12" s="138"/>
      <c r="I12" s="138"/>
      <c r="J12" s="10" t="s">
        <v>293</v>
      </c>
      <c r="K12" s="139"/>
      <c r="L12" s="140"/>
    </row>
    <row r="13" spans="1:12" ht="14.25" x14ac:dyDescent="0.2">
      <c r="A13" s="11"/>
      <c r="B13" s="11"/>
      <c r="C13" s="46" t="s">
        <v>298</v>
      </c>
      <c r="D13" s="46"/>
      <c r="E13" s="46"/>
      <c r="F13" s="46"/>
      <c r="G13" s="46"/>
      <c r="H13" s="65" t="s">
        <v>326</v>
      </c>
      <c r="I13" s="65"/>
      <c r="J13" s="75"/>
      <c r="K13" s="104"/>
      <c r="L13" s="106"/>
    </row>
    <row r="14" spans="1:12" ht="14.25" x14ac:dyDescent="0.2">
      <c r="A14" s="11"/>
      <c r="B14" s="11"/>
      <c r="C14" s="11"/>
      <c r="D14" s="11"/>
      <c r="E14" s="65" t="s">
        <v>327</v>
      </c>
      <c r="F14" s="65"/>
      <c r="G14" s="65"/>
      <c r="H14" s="65"/>
      <c r="I14" s="137" t="s">
        <v>303</v>
      </c>
      <c r="J14" s="96"/>
      <c r="K14" s="104"/>
      <c r="L14" s="106"/>
    </row>
    <row r="15" spans="1:12" ht="14.25" x14ac:dyDescent="0.2">
      <c r="A15" s="11"/>
      <c r="B15" s="11"/>
      <c r="C15" s="11"/>
      <c r="D15" s="11"/>
      <c r="E15" s="11"/>
      <c r="F15" s="11"/>
      <c r="G15" s="11"/>
      <c r="H15" s="11"/>
      <c r="I15" s="122" t="s">
        <v>304</v>
      </c>
      <c r="J15" s="123"/>
      <c r="K15" s="124"/>
      <c r="L15" s="125"/>
    </row>
    <row r="16" spans="1:12" ht="14.25" x14ac:dyDescent="0.2">
      <c r="A16" s="11"/>
      <c r="B16" s="11"/>
      <c r="C16" s="11"/>
      <c r="D16" s="11"/>
      <c r="E16" s="11"/>
      <c r="F16" s="11"/>
      <c r="G16" s="11"/>
      <c r="H16" s="11"/>
      <c r="I16" s="96" t="s">
        <v>328</v>
      </c>
      <c r="J16" s="96"/>
      <c r="K16" s="126"/>
      <c r="L16" s="127"/>
    </row>
    <row r="17" spans="1:12" ht="14.2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 x14ac:dyDescent="0.2">
      <c r="A19" s="11"/>
      <c r="B19" s="11"/>
      <c r="C19" s="128" t="s">
        <v>329</v>
      </c>
      <c r="D19" s="129"/>
      <c r="E19" s="128" t="s">
        <v>330</v>
      </c>
      <c r="F19" s="132"/>
      <c r="G19" s="11"/>
      <c r="H19" s="11"/>
      <c r="I19" s="128" t="s">
        <v>308</v>
      </c>
      <c r="J19" s="129"/>
      <c r="K19" s="129"/>
      <c r="L19" s="132"/>
    </row>
    <row r="20" spans="1:12" ht="14.25" x14ac:dyDescent="0.2">
      <c r="A20" s="11"/>
      <c r="B20" s="11"/>
      <c r="C20" s="130"/>
      <c r="D20" s="131"/>
      <c r="E20" s="130"/>
      <c r="F20" s="133"/>
      <c r="G20" s="11"/>
      <c r="H20" s="11"/>
      <c r="I20" s="134" t="s">
        <v>309</v>
      </c>
      <c r="J20" s="135"/>
      <c r="K20" s="134" t="s">
        <v>310</v>
      </c>
      <c r="L20" s="136"/>
    </row>
    <row r="21" spans="1:12" ht="14.25" x14ac:dyDescent="0.2">
      <c r="A21" s="11"/>
      <c r="B21" s="11"/>
      <c r="C21" s="117"/>
      <c r="D21" s="118"/>
      <c r="E21" s="119"/>
      <c r="F21" s="120"/>
      <c r="G21" s="42"/>
      <c r="H21" s="42"/>
      <c r="I21" s="119"/>
      <c r="J21" s="121"/>
      <c r="K21" s="119"/>
      <c r="L21" s="120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" x14ac:dyDescent="0.25">
      <c r="A24" s="73" t="s">
        <v>331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8" x14ac:dyDescent="0.25">
      <c r="A25" s="73" t="s">
        <v>332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4.2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4.25" x14ac:dyDescent="0.2">
      <c r="A28" s="111" t="s">
        <v>333</v>
      </c>
      <c r="B28" s="111" t="s">
        <v>334</v>
      </c>
      <c r="C28" s="113"/>
      <c r="D28" s="113"/>
      <c r="E28" s="113"/>
      <c r="F28" s="111" t="s">
        <v>289</v>
      </c>
      <c r="G28" s="111" t="s">
        <v>335</v>
      </c>
      <c r="H28" s="113"/>
      <c r="I28" s="113"/>
      <c r="J28" s="113"/>
      <c r="K28" s="113"/>
      <c r="L28" s="115"/>
    </row>
    <row r="29" spans="1:12" x14ac:dyDescent="0.2">
      <c r="A29" s="112"/>
      <c r="B29" s="112"/>
      <c r="C29" s="114"/>
      <c r="D29" s="114"/>
      <c r="E29" s="114"/>
      <c r="F29" s="112"/>
      <c r="G29" s="111" t="s">
        <v>336</v>
      </c>
      <c r="H29" s="113"/>
      <c r="I29" s="111" t="s">
        <v>337</v>
      </c>
      <c r="J29" s="113"/>
      <c r="K29" s="111" t="s">
        <v>338</v>
      </c>
      <c r="L29" s="115"/>
    </row>
    <row r="30" spans="1:12" x14ac:dyDescent="0.2">
      <c r="A30" s="112"/>
      <c r="B30" s="112"/>
      <c r="C30" s="114"/>
      <c r="D30" s="114"/>
      <c r="E30" s="114"/>
      <c r="F30" s="112"/>
      <c r="G30" s="112"/>
      <c r="H30" s="114"/>
      <c r="I30" s="112"/>
      <c r="J30" s="114"/>
      <c r="K30" s="112"/>
      <c r="L30" s="116"/>
    </row>
    <row r="31" spans="1:12" x14ac:dyDescent="0.2">
      <c r="A31" s="112"/>
      <c r="B31" s="112"/>
      <c r="C31" s="114"/>
      <c r="D31" s="114"/>
      <c r="E31" s="114"/>
      <c r="F31" s="112"/>
      <c r="G31" s="112"/>
      <c r="H31" s="114"/>
      <c r="I31" s="112"/>
      <c r="J31" s="114"/>
      <c r="K31" s="112"/>
      <c r="L31" s="116"/>
    </row>
    <row r="32" spans="1:12" x14ac:dyDescent="0.2">
      <c r="A32" s="112"/>
      <c r="B32" s="112"/>
      <c r="C32" s="114"/>
      <c r="D32" s="114"/>
      <c r="E32" s="114"/>
      <c r="F32" s="112"/>
      <c r="G32" s="112"/>
      <c r="H32" s="114"/>
      <c r="I32" s="112"/>
      <c r="J32" s="114"/>
      <c r="K32" s="112"/>
      <c r="L32" s="116"/>
    </row>
    <row r="33" spans="1:12" ht="14.25" x14ac:dyDescent="0.2">
      <c r="A33" s="35">
        <v>1</v>
      </c>
      <c r="B33" s="104">
        <v>2</v>
      </c>
      <c r="C33" s="105"/>
      <c r="D33" s="105"/>
      <c r="E33" s="105"/>
      <c r="F33" s="35">
        <v>3</v>
      </c>
      <c r="G33" s="104">
        <v>4</v>
      </c>
      <c r="H33" s="105"/>
      <c r="I33" s="104">
        <v>5</v>
      </c>
      <c r="J33" s="105"/>
      <c r="K33" s="104">
        <v>6</v>
      </c>
      <c r="L33" s="106"/>
    </row>
    <row r="34" spans="1:12" ht="14.25" x14ac:dyDescent="0.2">
      <c r="A34" s="43"/>
      <c r="B34" s="107" t="s">
        <v>339</v>
      </c>
      <c r="C34" s="94"/>
      <c r="D34" s="94"/>
      <c r="E34" s="94"/>
      <c r="F34" s="44"/>
      <c r="G34" s="108"/>
      <c r="H34" s="109"/>
      <c r="I34" s="108"/>
      <c r="J34" s="109"/>
      <c r="K34" s="108"/>
      <c r="L34" s="110"/>
    </row>
    <row r="35" spans="1:12" ht="14.25" x14ac:dyDescent="0.2">
      <c r="A35" s="45"/>
      <c r="B35" s="92" t="s">
        <v>340</v>
      </c>
      <c r="C35" s="93"/>
      <c r="D35" s="93"/>
      <c r="E35" s="93"/>
      <c r="F35" s="93"/>
      <c r="G35" s="93"/>
      <c r="H35" s="93"/>
      <c r="I35" s="93"/>
      <c r="J35" s="93"/>
      <c r="K35" s="94"/>
      <c r="L35" s="95"/>
    </row>
    <row r="36" spans="1:12" ht="14.25" x14ac:dyDescent="0.2">
      <c r="A36" s="96" t="s">
        <v>228</v>
      </c>
      <c r="B36" s="96"/>
      <c r="C36" s="96"/>
      <c r="D36" s="96"/>
      <c r="E36" s="96"/>
      <c r="F36" s="96"/>
      <c r="G36" s="96"/>
      <c r="H36" s="96"/>
      <c r="I36" s="96"/>
      <c r="J36" s="97"/>
      <c r="K36" s="98"/>
      <c r="L36" s="97"/>
    </row>
    <row r="37" spans="1:12" ht="14.25" x14ac:dyDescent="0.2">
      <c r="A37" s="99" t="s">
        <v>341</v>
      </c>
      <c r="B37" s="99"/>
      <c r="C37" s="99"/>
      <c r="D37" s="99"/>
      <c r="E37" s="99"/>
      <c r="F37" s="99"/>
      <c r="G37" s="99"/>
      <c r="H37" s="99"/>
      <c r="I37" s="99"/>
      <c r="J37" s="99"/>
      <c r="K37" s="100"/>
      <c r="L37" s="101"/>
    </row>
    <row r="38" spans="1:12" ht="14.25" x14ac:dyDescent="0.2">
      <c r="A38" s="99" t="s">
        <v>342</v>
      </c>
      <c r="B38" s="99"/>
      <c r="C38" s="99"/>
      <c r="D38" s="99"/>
      <c r="E38" s="99"/>
      <c r="F38" s="99"/>
      <c r="G38" s="99"/>
      <c r="H38" s="99"/>
      <c r="I38" s="99"/>
      <c r="J38" s="99"/>
      <c r="K38" s="102"/>
      <c r="L38" s="103"/>
    </row>
    <row r="39" spans="1:12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2" spans="1:12" ht="14.25" x14ac:dyDescent="0.2">
      <c r="A42" s="89" t="s">
        <v>323</v>
      </c>
      <c r="B42" s="89"/>
      <c r="C42" s="90"/>
      <c r="D42" s="90"/>
      <c r="E42" s="90"/>
      <c r="F42" s="11"/>
      <c r="G42" s="90"/>
      <c r="H42" s="90"/>
      <c r="I42" s="11"/>
      <c r="J42" s="90"/>
      <c r="K42" s="90"/>
      <c r="L42" s="90"/>
    </row>
    <row r="43" spans="1:12" ht="14.25" x14ac:dyDescent="0.2">
      <c r="A43" s="11"/>
      <c r="B43" s="11"/>
      <c r="C43" s="91" t="s">
        <v>343</v>
      </c>
      <c r="D43" s="91"/>
      <c r="E43" s="91"/>
      <c r="F43" s="11"/>
      <c r="G43" s="91" t="s">
        <v>344</v>
      </c>
      <c r="H43" s="91"/>
      <c r="I43" s="11"/>
      <c r="J43" s="91" t="s">
        <v>345</v>
      </c>
      <c r="K43" s="91"/>
      <c r="L43" s="91"/>
    </row>
    <row r="44" spans="1:12" ht="14.2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4.25" x14ac:dyDescent="0.2">
      <c r="A45" s="10" t="s">
        <v>346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4.2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4.2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4.2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4.25" x14ac:dyDescent="0.2">
      <c r="A49" s="89" t="s">
        <v>324</v>
      </c>
      <c r="B49" s="89"/>
      <c r="C49" s="90"/>
      <c r="D49" s="90"/>
      <c r="E49" s="90"/>
      <c r="F49" s="11"/>
      <c r="G49" s="90"/>
      <c r="H49" s="90"/>
      <c r="I49" s="11"/>
      <c r="J49" s="90"/>
      <c r="K49" s="90"/>
      <c r="L49" s="90"/>
    </row>
    <row r="50" spans="1:12" ht="14.25" x14ac:dyDescent="0.2">
      <c r="A50" s="11"/>
      <c r="B50" s="11"/>
      <c r="C50" s="91" t="s">
        <v>343</v>
      </c>
      <c r="D50" s="91"/>
      <c r="E50" s="91"/>
      <c r="F50" s="11"/>
      <c r="G50" s="91" t="s">
        <v>344</v>
      </c>
      <c r="H50" s="91"/>
      <c r="I50" s="11"/>
      <c r="J50" s="91" t="s">
        <v>345</v>
      </c>
      <c r="K50" s="91"/>
      <c r="L50" s="91"/>
    </row>
    <row r="51" spans="1:12" ht="14.2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4.25" x14ac:dyDescent="0.2">
      <c r="A52" s="10" t="s">
        <v>346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79">
    <mergeCell ref="I5:J5"/>
    <mergeCell ref="K5:L5"/>
    <mergeCell ref="A1:D1"/>
    <mergeCell ref="H1:L1"/>
    <mergeCell ref="H2:L2"/>
    <mergeCell ref="H3:L3"/>
    <mergeCell ref="K4:L4"/>
    <mergeCell ref="A12:B12"/>
    <mergeCell ref="C12:I12"/>
    <mergeCell ref="K12:L12"/>
    <mergeCell ref="A6:B6"/>
    <mergeCell ref="C6:I6"/>
    <mergeCell ref="K6:L6"/>
    <mergeCell ref="C7:I7"/>
    <mergeCell ref="A8:B8"/>
    <mergeCell ref="C8:H8"/>
    <mergeCell ref="K8:L8"/>
    <mergeCell ref="C9:I9"/>
    <mergeCell ref="A10:B10"/>
    <mergeCell ref="C10:I10"/>
    <mergeCell ref="K10:L10"/>
    <mergeCell ref="C11:I11"/>
    <mergeCell ref="C13:G13"/>
    <mergeCell ref="H13:J13"/>
    <mergeCell ref="K13:L13"/>
    <mergeCell ref="E14:H14"/>
    <mergeCell ref="I14:J14"/>
    <mergeCell ref="K14:L14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21:D21"/>
    <mergeCell ref="E21:F21"/>
    <mergeCell ref="I21:J21"/>
    <mergeCell ref="K21:L21"/>
    <mergeCell ref="A24:L24"/>
    <mergeCell ref="A28:A32"/>
    <mergeCell ref="B28:E32"/>
    <mergeCell ref="F28:F32"/>
    <mergeCell ref="G28:L28"/>
    <mergeCell ref="G29:H32"/>
    <mergeCell ref="I29:J32"/>
    <mergeCell ref="K29:L32"/>
    <mergeCell ref="A38:J38"/>
    <mergeCell ref="K38:L38"/>
    <mergeCell ref="B33:E33"/>
    <mergeCell ref="G33:H33"/>
    <mergeCell ref="I33:J33"/>
    <mergeCell ref="K33:L33"/>
    <mergeCell ref="B34:E34"/>
    <mergeCell ref="G34:H34"/>
    <mergeCell ref="I34:J34"/>
    <mergeCell ref="K34:L34"/>
    <mergeCell ref="B35:L35"/>
    <mergeCell ref="A36:J36"/>
    <mergeCell ref="K36:L36"/>
    <mergeCell ref="A37:J37"/>
    <mergeCell ref="K37:L37"/>
    <mergeCell ref="A42:B42"/>
    <mergeCell ref="C42:E42"/>
    <mergeCell ref="G42:H42"/>
    <mergeCell ref="J42:L42"/>
    <mergeCell ref="C43:E43"/>
    <mergeCell ref="G43:H43"/>
    <mergeCell ref="J43:L43"/>
    <mergeCell ref="A49:B49"/>
    <mergeCell ref="C49:E49"/>
    <mergeCell ref="G49:H49"/>
    <mergeCell ref="J49:L49"/>
    <mergeCell ref="C50:E50"/>
    <mergeCell ref="G50:H50"/>
    <mergeCell ref="J50:L50"/>
  </mergeCells>
  <pageMargins left="0.4" right="0.2" top="0.2" bottom="0.4" header="0.2" footer="0.2"/>
  <pageSetup paperSize="9" scale="80" fitToHeight="0" orientation="portrait" horizontalDpi="0" verticalDpi="0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29"/>
  <sheetViews>
    <sheetView topLeftCell="A109" workbookViewId="0">
      <selection activeCell="F126" sqref="F126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224</v>
      </c>
      <c r="C12" s="1">
        <v>0</v>
      </c>
      <c r="D12" s="1">
        <f>ROW(A188)</f>
        <v>188</v>
      </c>
      <c r="E12" s="1">
        <v>0</v>
      </c>
      <c r="F12" s="1" t="s">
        <v>347</v>
      </c>
      <c r="G12" s="1" t="s">
        <v>347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B188</f>
        <v>224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 xml:space="preserve">ТП-521. Замена оборудования- РУ-0,4 кВ </v>
      </c>
      <c r="G18" s="2" t="str">
        <f t="shared" si="0"/>
        <v xml:space="preserve">ТП-521. Замена оборудования- РУ-0,4 кВ </v>
      </c>
      <c r="H18" s="2"/>
      <c r="I18" s="2"/>
      <c r="J18" s="2"/>
      <c r="K18" s="2"/>
      <c r="L18" s="2"/>
      <c r="M18" s="2"/>
      <c r="N18" s="2"/>
      <c r="O18" s="2">
        <f t="shared" ref="O18:AT18" si="1">O188</f>
        <v>1870359.59</v>
      </c>
      <c r="P18" s="2">
        <f t="shared" si="1"/>
        <v>1636224.9</v>
      </c>
      <c r="Q18" s="2">
        <f t="shared" si="1"/>
        <v>24131.22</v>
      </c>
      <c r="R18" s="2">
        <f t="shared" si="1"/>
        <v>12478.27</v>
      </c>
      <c r="S18" s="2">
        <f t="shared" si="1"/>
        <v>210003.47</v>
      </c>
      <c r="T18" s="2">
        <f t="shared" si="1"/>
        <v>0</v>
      </c>
      <c r="U18" s="2">
        <f t="shared" si="1"/>
        <v>583.1215643999999</v>
      </c>
      <c r="V18" s="2">
        <f t="shared" si="1"/>
        <v>0</v>
      </c>
      <c r="W18" s="2">
        <f t="shared" si="1"/>
        <v>0</v>
      </c>
      <c r="X18" s="2">
        <f t="shared" si="1"/>
        <v>149479.47</v>
      </c>
      <c r="Y18" s="2">
        <f t="shared" si="1"/>
        <v>86101.440000000002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2125531.38</v>
      </c>
      <c r="AS18" s="2">
        <f t="shared" si="1"/>
        <v>0</v>
      </c>
      <c r="AT18" s="2">
        <f t="shared" si="1"/>
        <v>278271.93</v>
      </c>
      <c r="AU18" s="2">
        <f t="shared" ref="AU18:BZ18" si="2">AU188</f>
        <v>1847259.45</v>
      </c>
      <c r="AV18" s="2">
        <f t="shared" si="2"/>
        <v>1636224.9</v>
      </c>
      <c r="AW18" s="2">
        <f t="shared" si="2"/>
        <v>1636224.9</v>
      </c>
      <c r="AX18" s="2">
        <f t="shared" si="2"/>
        <v>0</v>
      </c>
      <c r="AY18" s="2">
        <f t="shared" si="2"/>
        <v>1636224.9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CA188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DG188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EM188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FS188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ROW(A158)</f>
        <v>158</v>
      </c>
      <c r="E20" s="1"/>
      <c r="F20" s="1" t="s">
        <v>19</v>
      </c>
      <c r="G20" s="1" t="s">
        <v>20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">
      <c r="A22" s="2">
        <v>52</v>
      </c>
      <c r="B22" s="2">
        <f t="shared" ref="B22:G22" si="7">B158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ТП-521. Реконструкция. Замена 8 панелей в РУ-0,4 кВ.</v>
      </c>
      <c r="H22" s="2"/>
      <c r="I22" s="2"/>
      <c r="J22" s="2"/>
      <c r="K22" s="2"/>
      <c r="L22" s="2"/>
      <c r="M22" s="2"/>
      <c r="N22" s="2"/>
      <c r="O22" s="2">
        <f t="shared" ref="O22:AT22" si="8">O158</f>
        <v>1870359.59</v>
      </c>
      <c r="P22" s="2">
        <f t="shared" si="8"/>
        <v>1636224.9</v>
      </c>
      <c r="Q22" s="2">
        <f t="shared" si="8"/>
        <v>24131.22</v>
      </c>
      <c r="R22" s="2">
        <f t="shared" si="8"/>
        <v>12478.27</v>
      </c>
      <c r="S22" s="2">
        <f t="shared" si="8"/>
        <v>210003.47</v>
      </c>
      <c r="T22" s="2">
        <f t="shared" si="8"/>
        <v>0</v>
      </c>
      <c r="U22" s="2">
        <f t="shared" si="8"/>
        <v>583.1215643999999</v>
      </c>
      <c r="V22" s="2">
        <f t="shared" si="8"/>
        <v>0</v>
      </c>
      <c r="W22" s="2">
        <f t="shared" si="8"/>
        <v>0</v>
      </c>
      <c r="X22" s="2">
        <f t="shared" si="8"/>
        <v>149479.47</v>
      </c>
      <c r="Y22" s="2">
        <f t="shared" si="8"/>
        <v>86101.440000000002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2125531.38</v>
      </c>
      <c r="AS22" s="2">
        <f t="shared" si="8"/>
        <v>0</v>
      </c>
      <c r="AT22" s="2">
        <f t="shared" si="8"/>
        <v>278271.93</v>
      </c>
      <c r="AU22" s="2">
        <f t="shared" ref="AU22:BZ22" si="9">AU158</f>
        <v>1847259.45</v>
      </c>
      <c r="AV22" s="2">
        <f t="shared" si="9"/>
        <v>1636224.9</v>
      </c>
      <c r="AW22" s="2">
        <f t="shared" si="9"/>
        <v>1636224.9</v>
      </c>
      <c r="AX22" s="2">
        <f t="shared" si="9"/>
        <v>0</v>
      </c>
      <c r="AY22" s="2">
        <f t="shared" si="9"/>
        <v>1636224.9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CA158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DG158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EM158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FS158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ROW(A41)</f>
        <v>41</v>
      </c>
      <c r="E24" s="1"/>
      <c r="F24" s="1" t="s">
        <v>21</v>
      </c>
      <c r="G24" s="1" t="s">
        <v>22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B41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Электромонтажные работы.</v>
      </c>
      <c r="H26" s="2"/>
      <c r="I26" s="2"/>
      <c r="J26" s="2"/>
      <c r="K26" s="2"/>
      <c r="L26" s="2"/>
      <c r="M26" s="2"/>
      <c r="N26" s="2"/>
      <c r="O26" s="2">
        <f t="shared" ref="O26:AT26" si="15">O41</f>
        <v>116528.63</v>
      </c>
      <c r="P26" s="2">
        <f t="shared" si="15"/>
        <v>18207.150000000001</v>
      </c>
      <c r="Q26" s="2">
        <f t="shared" si="15"/>
        <v>24131.22</v>
      </c>
      <c r="R26" s="2">
        <f t="shared" si="15"/>
        <v>12478.27</v>
      </c>
      <c r="S26" s="2">
        <f t="shared" si="15"/>
        <v>74190.259999999995</v>
      </c>
      <c r="T26" s="2">
        <f t="shared" si="15"/>
        <v>0</v>
      </c>
      <c r="U26" s="2">
        <f t="shared" si="15"/>
        <v>230.79556439999999</v>
      </c>
      <c r="V26" s="2">
        <f t="shared" si="15"/>
        <v>0</v>
      </c>
      <c r="W26" s="2">
        <f t="shared" si="15"/>
        <v>0</v>
      </c>
      <c r="X26" s="2">
        <f t="shared" si="15"/>
        <v>57126.5</v>
      </c>
      <c r="Y26" s="2">
        <f t="shared" si="15"/>
        <v>30418.03</v>
      </c>
      <c r="Z26" s="2">
        <f t="shared" si="15"/>
        <v>0</v>
      </c>
      <c r="AA26" s="2">
        <f t="shared" si="15"/>
        <v>0</v>
      </c>
      <c r="AB26" s="2">
        <f t="shared" si="15"/>
        <v>116528.63</v>
      </c>
      <c r="AC26" s="2">
        <f t="shared" si="15"/>
        <v>18207.150000000001</v>
      </c>
      <c r="AD26" s="2">
        <f t="shared" si="15"/>
        <v>24131.22</v>
      </c>
      <c r="AE26" s="2">
        <f t="shared" si="15"/>
        <v>12478.27</v>
      </c>
      <c r="AF26" s="2">
        <f t="shared" si="15"/>
        <v>74190.259999999995</v>
      </c>
      <c r="AG26" s="2">
        <f t="shared" si="15"/>
        <v>0</v>
      </c>
      <c r="AH26" s="2">
        <f t="shared" si="15"/>
        <v>230.79556439999999</v>
      </c>
      <c r="AI26" s="2">
        <f t="shared" si="15"/>
        <v>0</v>
      </c>
      <c r="AJ26" s="2">
        <f t="shared" si="15"/>
        <v>0</v>
      </c>
      <c r="AK26" s="2">
        <f t="shared" si="15"/>
        <v>57126.5</v>
      </c>
      <c r="AL26" s="2">
        <f t="shared" si="15"/>
        <v>30418.03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223664.04</v>
      </c>
      <c r="AS26" s="2">
        <f t="shared" si="15"/>
        <v>0</v>
      </c>
      <c r="AT26" s="2">
        <f t="shared" si="15"/>
        <v>223664.04</v>
      </c>
      <c r="AU26" s="2">
        <f t="shared" ref="AU26:BZ26" si="16">AU41</f>
        <v>0</v>
      </c>
      <c r="AV26" s="2">
        <f t="shared" si="16"/>
        <v>18207.150000000001</v>
      </c>
      <c r="AW26" s="2">
        <f t="shared" si="16"/>
        <v>18207.150000000001</v>
      </c>
      <c r="AX26" s="2">
        <f t="shared" si="16"/>
        <v>0</v>
      </c>
      <c r="AY26" s="2">
        <f t="shared" si="16"/>
        <v>18207.150000000001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CA41</f>
        <v>223664.04</v>
      </c>
      <c r="CB26" s="2">
        <f t="shared" si="17"/>
        <v>0</v>
      </c>
      <c r="CC26" s="2">
        <f t="shared" si="17"/>
        <v>223664.04</v>
      </c>
      <c r="CD26" s="2">
        <f t="shared" si="17"/>
        <v>0</v>
      </c>
      <c r="CE26" s="2">
        <f t="shared" si="17"/>
        <v>18207.150000000001</v>
      </c>
      <c r="CF26" s="2">
        <f t="shared" si="17"/>
        <v>18207.150000000001</v>
      </c>
      <c r="CG26" s="2">
        <f t="shared" si="17"/>
        <v>0</v>
      </c>
      <c r="CH26" s="2">
        <f t="shared" si="17"/>
        <v>18207.150000000001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DG41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EM41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FS41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E28" t="s">
        <v>23</v>
      </c>
      <c r="F28" t="s">
        <v>24</v>
      </c>
      <c r="G28" t="s">
        <v>25</v>
      </c>
      <c r="H28" t="s">
        <v>26</v>
      </c>
      <c r="I28">
        <v>0.312</v>
      </c>
      <c r="J28">
        <v>0</v>
      </c>
      <c r="O28">
        <f t="shared" ref="O28:O39" si="21">ROUND(CP28,2)</f>
        <v>17842.8</v>
      </c>
      <c r="P28">
        <f t="shared" ref="P28:P39" si="22">ROUND((ROUND((AC28*AW28*I28),2)*BC28),2)</f>
        <v>9000.09</v>
      </c>
      <c r="Q28">
        <f>(ROUND((ROUND((((ET28*1.2))*AV28*I28),2)*BB28),2)+ROUND((ROUND(((AE28-((EU28*1.2)))*AV28*I28),2)*BS28),2))</f>
        <v>2261.44</v>
      </c>
      <c r="R28">
        <f t="shared" ref="R28:R39" si="23">ROUND((ROUND((AE28*AV28*I28),2)*BS28),2)</f>
        <v>646.80999999999995</v>
      </c>
      <c r="S28">
        <f t="shared" ref="S28:S39" si="24">ROUND((ROUND((AF28*AV28*I28),2)*BA28),2)</f>
        <v>6581.27</v>
      </c>
      <c r="T28">
        <f t="shared" ref="T28:T39" si="25">ROUND(CU28*I28,2)</f>
        <v>0</v>
      </c>
      <c r="U28">
        <f t="shared" ref="U28:U39" si="26">CV28*I28</f>
        <v>21.011028479999997</v>
      </c>
      <c r="V28">
        <f t="shared" ref="V28:V39" si="27">CW28*I28</f>
        <v>0</v>
      </c>
      <c r="W28">
        <f t="shared" ref="W28:W39" si="28">ROUND(CX28*I28,2)</f>
        <v>0</v>
      </c>
      <c r="X28">
        <f t="shared" ref="X28:X39" si="29">ROUND(CY28,2)</f>
        <v>5067.58</v>
      </c>
      <c r="Y28">
        <f t="shared" ref="Y28:Y39" si="30">ROUND(CZ28,2)</f>
        <v>2698.32</v>
      </c>
      <c r="AA28">
        <v>23440596</v>
      </c>
      <c r="AB28">
        <f t="shared" ref="AB28:AB39" si="31">ROUND((AC28+AD28+AF28),6)</f>
        <v>7107.9440000000004</v>
      </c>
      <c r="AC28">
        <f>ROUND((ES28),6)</f>
        <v>5453</v>
      </c>
      <c r="AD28">
        <f>ROUND(((((ET28*1.2))-((EU28*1.2)))+AE28),6)</f>
        <v>843.22799999999995</v>
      </c>
      <c r="AE28">
        <f>ROUND(((EU28*1.2)),6)</f>
        <v>79.775999999999996</v>
      </c>
      <c r="AF28">
        <f>ROUND(((EV28*1.2)),6)</f>
        <v>811.71600000000001</v>
      </c>
      <c r="AG28">
        <f t="shared" ref="AG28:AG39" si="32">ROUND((AP28),6)</f>
        <v>0</v>
      </c>
      <c r="AH28">
        <f>((EW28*1.2))</f>
        <v>64.319999999999993</v>
      </c>
      <c r="AI28">
        <f>((EX28*1.2))</f>
        <v>0</v>
      </c>
      <c r="AJ28">
        <f t="shared" ref="AJ28:AJ39" si="33">(AS28)</f>
        <v>0</v>
      </c>
      <c r="AK28">
        <v>6832.12</v>
      </c>
      <c r="AL28">
        <v>5453</v>
      </c>
      <c r="AM28">
        <v>702.69</v>
      </c>
      <c r="AN28">
        <v>66.48</v>
      </c>
      <c r="AO28">
        <v>676.43</v>
      </c>
      <c r="AP28">
        <v>0</v>
      </c>
      <c r="AQ28">
        <v>53.6</v>
      </c>
      <c r="AR28">
        <v>0</v>
      </c>
      <c r="AS28">
        <v>0</v>
      </c>
      <c r="AT28">
        <v>77</v>
      </c>
      <c r="AU28">
        <v>41</v>
      </c>
      <c r="AV28">
        <v>1.0469999999999999</v>
      </c>
      <c r="AW28">
        <v>1</v>
      </c>
      <c r="AZ28">
        <v>1</v>
      </c>
      <c r="BA28">
        <v>24.82</v>
      </c>
      <c r="BB28">
        <v>8.2100000000000009</v>
      </c>
      <c r="BC28">
        <v>5.29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2</v>
      </c>
      <c r="BJ28" t="s">
        <v>27</v>
      </c>
      <c r="BM28">
        <v>317</v>
      </c>
      <c r="BN28">
        <v>0</v>
      </c>
      <c r="BO28" t="s">
        <v>24</v>
      </c>
      <c r="BP28">
        <v>1</v>
      </c>
      <c r="BQ28">
        <v>40</v>
      </c>
      <c r="BR28">
        <v>0</v>
      </c>
      <c r="BS28">
        <v>24.82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77</v>
      </c>
      <c r="CA28">
        <v>41</v>
      </c>
      <c r="CE28">
        <v>30</v>
      </c>
      <c r="CF28">
        <v>0</v>
      </c>
      <c r="CG28">
        <v>0</v>
      </c>
      <c r="CM28">
        <v>0</v>
      </c>
      <c r="CN28" t="s">
        <v>240</v>
      </c>
      <c r="CO28">
        <v>0</v>
      </c>
      <c r="CP28">
        <f t="shared" ref="CP28:CP39" si="34">(P28+Q28+S28)</f>
        <v>17842.800000000003</v>
      </c>
      <c r="CQ28">
        <f t="shared" ref="CQ28:CQ39" si="35">ROUND((ROUND((AC28*AW28*1),2)*BC28),2)</f>
        <v>28846.37</v>
      </c>
      <c r="CR28">
        <f>(ROUND((ROUND((((ET28*1.2))*AV28*1),2)*BB28),2)+ROUND((ROUND(((AE28-((EU28*1.2)))*AV28*1),2)*BS28),2))</f>
        <v>7248.28</v>
      </c>
      <c r="CS28">
        <f t="shared" ref="CS28:CS39" si="36">ROUND((ROUND((AE28*AV28*1),2)*BS28),2)</f>
        <v>2073.21</v>
      </c>
      <c r="CT28">
        <f t="shared" ref="CT28:CT39" si="37">ROUND((ROUND((AF28*AV28*1),2)*BA28),2)</f>
        <v>21093.77</v>
      </c>
      <c r="CU28">
        <f t="shared" ref="CU28:CU39" si="38">AG28</f>
        <v>0</v>
      </c>
      <c r="CV28">
        <f t="shared" ref="CV28:CV39" si="39">(AH28*AV28)</f>
        <v>67.343039999999988</v>
      </c>
      <c r="CW28">
        <f t="shared" ref="CW28:CW39" si="40">AI28</f>
        <v>0</v>
      </c>
      <c r="CX28">
        <f t="shared" ref="CX28:CX39" si="41">AJ28</f>
        <v>0</v>
      </c>
      <c r="CY28">
        <f t="shared" ref="CY28:CY39" si="42">S28*(BZ28/100)</f>
        <v>5067.5779000000002</v>
      </c>
      <c r="CZ28">
        <f t="shared" ref="CZ28:CZ39" si="43">S28*(CA28/100)</f>
        <v>2698.3207000000002</v>
      </c>
      <c r="DC28" t="s">
        <v>3</v>
      </c>
      <c r="DD28" t="s">
        <v>3</v>
      </c>
      <c r="DE28" t="s">
        <v>28</v>
      </c>
      <c r="DF28" t="s">
        <v>28</v>
      </c>
      <c r="DG28" t="s">
        <v>28</v>
      </c>
      <c r="DH28" t="s">
        <v>3</v>
      </c>
      <c r="DI28" t="s">
        <v>28</v>
      </c>
      <c r="DJ28" t="s">
        <v>28</v>
      </c>
      <c r="DK28" t="s">
        <v>3</v>
      </c>
      <c r="DL28" t="s">
        <v>3</v>
      </c>
      <c r="DM28" t="s">
        <v>3</v>
      </c>
      <c r="DN28">
        <v>114</v>
      </c>
      <c r="DO28">
        <v>67</v>
      </c>
      <c r="DP28">
        <v>1.0469999999999999</v>
      </c>
      <c r="DQ28">
        <v>1</v>
      </c>
      <c r="DU28">
        <v>1009</v>
      </c>
      <c r="DV28" t="s">
        <v>26</v>
      </c>
      <c r="DW28" t="s">
        <v>26</v>
      </c>
      <c r="DX28">
        <v>1000</v>
      </c>
      <c r="DZ28" t="s">
        <v>3</v>
      </c>
      <c r="EA28" t="s">
        <v>3</v>
      </c>
      <c r="EB28" t="s">
        <v>3</v>
      </c>
      <c r="EC28" t="s">
        <v>3</v>
      </c>
      <c r="EE28">
        <v>22827158</v>
      </c>
      <c r="EF28">
        <v>40</v>
      </c>
      <c r="EG28" t="s">
        <v>29</v>
      </c>
      <c r="EH28">
        <v>0</v>
      </c>
      <c r="EI28" t="s">
        <v>3</v>
      </c>
      <c r="EJ28">
        <v>2</v>
      </c>
      <c r="EK28">
        <v>317</v>
      </c>
      <c r="EL28" t="s">
        <v>30</v>
      </c>
      <c r="EM28" t="s">
        <v>31</v>
      </c>
      <c r="EO28" t="s">
        <v>32</v>
      </c>
      <c r="EQ28">
        <v>0</v>
      </c>
      <c r="ER28">
        <v>6832.12</v>
      </c>
      <c r="ES28">
        <v>5453</v>
      </c>
      <c r="ET28">
        <v>702.69</v>
      </c>
      <c r="EU28">
        <v>66.48</v>
      </c>
      <c r="EV28">
        <v>676.43</v>
      </c>
      <c r="EW28">
        <v>53.6</v>
      </c>
      <c r="EX28">
        <v>0</v>
      </c>
      <c r="EY28">
        <v>0</v>
      </c>
      <c r="FQ28">
        <v>0</v>
      </c>
      <c r="FR28">
        <f t="shared" ref="FR28:FR39" si="44">ROUND(IF(AND(BH28=3,BI28=3),P28,0),2)</f>
        <v>0</v>
      </c>
      <c r="FS28">
        <v>0</v>
      </c>
      <c r="FX28">
        <v>114</v>
      </c>
      <c r="FY28">
        <v>67</v>
      </c>
      <c r="GA28" t="s">
        <v>3</v>
      </c>
      <c r="GD28">
        <v>0</v>
      </c>
      <c r="GF28">
        <v>-2105285767</v>
      </c>
      <c r="GG28">
        <v>2</v>
      </c>
      <c r="GH28">
        <v>1</v>
      </c>
      <c r="GI28">
        <v>2</v>
      </c>
      <c r="GJ28">
        <v>0</v>
      </c>
      <c r="GK28">
        <f>ROUND(R28*(R12)/100,2)</f>
        <v>1015.49</v>
      </c>
      <c r="GL28">
        <f t="shared" ref="GL28:GL39" si="45">ROUND(IF(AND(BH28=3,BI28=3,FS28&lt;&gt;0),P28,0),2)</f>
        <v>0</v>
      </c>
      <c r="GM28">
        <f t="shared" ref="GM28:GM39" si="46">ROUND(O28+X28+Y28+GK28,2)+GX28</f>
        <v>26624.19</v>
      </c>
      <c r="GN28">
        <f t="shared" ref="GN28:GN39" si="47">IF(OR(BI28=0,BI28=1),ROUND(O28+X28+Y28+GK28,2),0)</f>
        <v>0</v>
      </c>
      <c r="GO28">
        <f t="shared" ref="GO28:GO39" si="48">IF(BI28=2,ROUND(O28+X28+Y28+GK28,2),0)</f>
        <v>26624.19</v>
      </c>
      <c r="GP28">
        <f t="shared" ref="GP28:GP39" si="49">IF(BI28=4,ROUND(O28+X28+Y28+GK28,2)+GX28,0)</f>
        <v>0</v>
      </c>
      <c r="GR28">
        <v>0</v>
      </c>
      <c r="GS28">
        <v>0</v>
      </c>
      <c r="GT28">
        <v>0</v>
      </c>
      <c r="GU28" t="s">
        <v>3</v>
      </c>
      <c r="GV28">
        <f t="shared" ref="GV28:GV39" si="50">ROUND((GT28),6)</f>
        <v>0</v>
      </c>
      <c r="GW28">
        <v>1</v>
      </c>
      <c r="GX28">
        <f t="shared" ref="GX28:GX39" si="51">ROUND(HC28*I28,2)</f>
        <v>0</v>
      </c>
      <c r="HA28">
        <v>0</v>
      </c>
      <c r="HB28">
        <v>0</v>
      </c>
      <c r="HC28">
        <f t="shared" ref="HC28:HC39" si="52">GV28*GW28</f>
        <v>0</v>
      </c>
      <c r="HE28" t="s">
        <v>3</v>
      </c>
      <c r="HF28" t="s">
        <v>3</v>
      </c>
      <c r="IK28">
        <v>0</v>
      </c>
    </row>
    <row r="29" spans="1:245" x14ac:dyDescent="0.2">
      <c r="A29">
        <v>17</v>
      </c>
      <c r="B29">
        <v>1</v>
      </c>
      <c r="E29" t="s">
        <v>33</v>
      </c>
      <c r="F29" t="s">
        <v>34</v>
      </c>
      <c r="G29" t="s">
        <v>35</v>
      </c>
      <c r="H29" t="s">
        <v>36</v>
      </c>
      <c r="I29">
        <v>8</v>
      </c>
      <c r="J29">
        <v>0</v>
      </c>
      <c r="O29">
        <f t="shared" si="21"/>
        <v>25819.72</v>
      </c>
      <c r="P29">
        <f t="shared" si="22"/>
        <v>6487.66</v>
      </c>
      <c r="Q29">
        <f>(ROUND((ROUND((((ET29*1.2))*AV29*I29),2)*BB29),2)+ROUND((ROUND(((AE29-((EU29*1.2)))*AV29*I29),2)*BS29),2))</f>
        <v>5970.46</v>
      </c>
      <c r="R29">
        <f t="shared" si="23"/>
        <v>2417.4699999999998</v>
      </c>
      <c r="S29">
        <f t="shared" si="24"/>
        <v>13361.6</v>
      </c>
      <c r="T29">
        <f t="shared" si="25"/>
        <v>0</v>
      </c>
      <c r="U29">
        <f t="shared" si="26"/>
        <v>41.410943999999994</v>
      </c>
      <c r="V29">
        <f t="shared" si="27"/>
        <v>0</v>
      </c>
      <c r="W29">
        <f t="shared" si="28"/>
        <v>0</v>
      </c>
      <c r="X29">
        <f t="shared" si="29"/>
        <v>10288.43</v>
      </c>
      <c r="Y29">
        <f t="shared" si="30"/>
        <v>5478.26</v>
      </c>
      <c r="AA29">
        <v>23440596</v>
      </c>
      <c r="AB29">
        <f t="shared" si="31"/>
        <v>302.02800000000002</v>
      </c>
      <c r="AC29">
        <f>ROUND((ES29),6)</f>
        <v>153.30000000000001</v>
      </c>
      <c r="AD29">
        <f>ROUND(((((ET29*1.2))-((EU29*1.2)))+AE29),6)</f>
        <v>84.456000000000003</v>
      </c>
      <c r="AE29">
        <f>ROUND(((EU29*1.2)),6)</f>
        <v>11.628</v>
      </c>
      <c r="AF29">
        <f>ROUND(((EV29*1.2)),6)</f>
        <v>64.272000000000006</v>
      </c>
      <c r="AG29">
        <f t="shared" si="32"/>
        <v>0</v>
      </c>
      <c r="AH29">
        <f>((EW29*1.2))</f>
        <v>4.944</v>
      </c>
      <c r="AI29">
        <f>((EX29*1.2))</f>
        <v>0</v>
      </c>
      <c r="AJ29">
        <f t="shared" si="33"/>
        <v>0</v>
      </c>
      <c r="AK29">
        <v>277.24</v>
      </c>
      <c r="AL29">
        <v>153.30000000000001</v>
      </c>
      <c r="AM29">
        <v>70.38</v>
      </c>
      <c r="AN29">
        <v>9.69</v>
      </c>
      <c r="AO29">
        <v>53.56</v>
      </c>
      <c r="AP29">
        <v>0</v>
      </c>
      <c r="AQ29">
        <v>4.12</v>
      </c>
      <c r="AR29">
        <v>0</v>
      </c>
      <c r="AS29">
        <v>0</v>
      </c>
      <c r="AT29">
        <v>77</v>
      </c>
      <c r="AU29">
        <v>41</v>
      </c>
      <c r="AV29">
        <v>1.0469999999999999</v>
      </c>
      <c r="AW29">
        <v>1</v>
      </c>
      <c r="AZ29">
        <v>1</v>
      </c>
      <c r="BA29">
        <v>24.82</v>
      </c>
      <c r="BB29">
        <v>8.44</v>
      </c>
      <c r="BC29">
        <v>5.29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37</v>
      </c>
      <c r="BM29">
        <v>333</v>
      </c>
      <c r="BN29">
        <v>0</v>
      </c>
      <c r="BO29" t="s">
        <v>34</v>
      </c>
      <c r="BP29">
        <v>1</v>
      </c>
      <c r="BQ29">
        <v>40</v>
      </c>
      <c r="BR29">
        <v>0</v>
      </c>
      <c r="BS29">
        <v>24.82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77</v>
      </c>
      <c r="CA29">
        <v>41</v>
      </c>
      <c r="CE29">
        <v>30</v>
      </c>
      <c r="CF29">
        <v>0</v>
      </c>
      <c r="CG29">
        <v>0</v>
      </c>
      <c r="CM29">
        <v>0</v>
      </c>
      <c r="CN29" t="s">
        <v>240</v>
      </c>
      <c r="CO29">
        <v>0</v>
      </c>
      <c r="CP29">
        <f t="shared" si="34"/>
        <v>25819.72</v>
      </c>
      <c r="CQ29">
        <f t="shared" si="35"/>
        <v>810.96</v>
      </c>
      <c r="CR29">
        <f>(ROUND((ROUND((((ET29*1.2))*AV29*1),2)*BB29),2)+ROUND((ROUND(((AE29-((EU29*1.2)))*AV29*1),2)*BS29),2))</f>
        <v>746.35</v>
      </c>
      <c r="CS29">
        <f t="shared" si="36"/>
        <v>302.06</v>
      </c>
      <c r="CT29">
        <f t="shared" si="37"/>
        <v>1670.14</v>
      </c>
      <c r="CU29">
        <f t="shared" si="38"/>
        <v>0</v>
      </c>
      <c r="CV29">
        <f t="shared" si="39"/>
        <v>5.1763679999999992</v>
      </c>
      <c r="CW29">
        <f t="shared" si="40"/>
        <v>0</v>
      </c>
      <c r="CX29">
        <f t="shared" si="41"/>
        <v>0</v>
      </c>
      <c r="CY29">
        <f t="shared" si="42"/>
        <v>10288.432000000001</v>
      </c>
      <c r="CZ29">
        <f t="shared" si="43"/>
        <v>5478.2559999999994</v>
      </c>
      <c r="DC29" t="s">
        <v>3</v>
      </c>
      <c r="DD29" t="s">
        <v>3</v>
      </c>
      <c r="DE29" t="s">
        <v>28</v>
      </c>
      <c r="DF29" t="s">
        <v>28</v>
      </c>
      <c r="DG29" t="s">
        <v>28</v>
      </c>
      <c r="DH29" t="s">
        <v>3</v>
      </c>
      <c r="DI29" t="s">
        <v>28</v>
      </c>
      <c r="DJ29" t="s">
        <v>28</v>
      </c>
      <c r="DK29" t="s">
        <v>3</v>
      </c>
      <c r="DL29" t="s">
        <v>3</v>
      </c>
      <c r="DM29" t="s">
        <v>3</v>
      </c>
      <c r="DN29">
        <v>114</v>
      </c>
      <c r="DO29">
        <v>67</v>
      </c>
      <c r="DP29">
        <v>1.0469999999999999</v>
      </c>
      <c r="DQ29">
        <v>1</v>
      </c>
      <c r="DU29">
        <v>1010</v>
      </c>
      <c r="DV29" t="s">
        <v>36</v>
      </c>
      <c r="DW29" t="s">
        <v>36</v>
      </c>
      <c r="DX29">
        <v>1</v>
      </c>
      <c r="DZ29" t="s">
        <v>3</v>
      </c>
      <c r="EA29" t="s">
        <v>3</v>
      </c>
      <c r="EB29" t="s">
        <v>3</v>
      </c>
      <c r="EC29" t="s">
        <v>3</v>
      </c>
      <c r="EE29">
        <v>22827174</v>
      </c>
      <c r="EF29">
        <v>40</v>
      </c>
      <c r="EG29" t="s">
        <v>29</v>
      </c>
      <c r="EH29">
        <v>0</v>
      </c>
      <c r="EI29" t="s">
        <v>3</v>
      </c>
      <c r="EJ29">
        <v>2</v>
      </c>
      <c r="EK29">
        <v>333</v>
      </c>
      <c r="EL29" t="s">
        <v>38</v>
      </c>
      <c r="EM29" t="s">
        <v>39</v>
      </c>
      <c r="EO29" t="s">
        <v>32</v>
      </c>
      <c r="EQ29">
        <v>0</v>
      </c>
      <c r="ER29">
        <v>277.24</v>
      </c>
      <c r="ES29">
        <v>153.30000000000001</v>
      </c>
      <c r="ET29">
        <v>70.38</v>
      </c>
      <c r="EU29">
        <v>9.69</v>
      </c>
      <c r="EV29">
        <v>53.56</v>
      </c>
      <c r="EW29">
        <v>4.12</v>
      </c>
      <c r="EX29">
        <v>0</v>
      </c>
      <c r="EY29">
        <v>0</v>
      </c>
      <c r="FQ29">
        <v>0</v>
      </c>
      <c r="FR29">
        <f t="shared" si="44"/>
        <v>0</v>
      </c>
      <c r="FS29">
        <v>0</v>
      </c>
      <c r="FX29">
        <v>114</v>
      </c>
      <c r="FY29">
        <v>67</v>
      </c>
      <c r="GA29" t="s">
        <v>3</v>
      </c>
      <c r="GD29">
        <v>0</v>
      </c>
      <c r="GF29">
        <v>1168495075</v>
      </c>
      <c r="GG29">
        <v>2</v>
      </c>
      <c r="GH29">
        <v>1</v>
      </c>
      <c r="GI29">
        <v>2</v>
      </c>
      <c r="GJ29">
        <v>0</v>
      </c>
      <c r="GK29">
        <f>ROUND(R29*(R12)/100,2)</f>
        <v>3795.43</v>
      </c>
      <c r="GL29">
        <f t="shared" si="45"/>
        <v>0</v>
      </c>
      <c r="GM29">
        <f t="shared" si="46"/>
        <v>45381.84</v>
      </c>
      <c r="GN29">
        <f t="shared" si="47"/>
        <v>0</v>
      </c>
      <c r="GO29">
        <f t="shared" si="48"/>
        <v>45381.84</v>
      </c>
      <c r="GP29">
        <f t="shared" si="49"/>
        <v>0</v>
      </c>
      <c r="GR29">
        <v>0</v>
      </c>
      <c r="GS29">
        <v>0</v>
      </c>
      <c r="GT29">
        <v>0</v>
      </c>
      <c r="GU29" t="s">
        <v>3</v>
      </c>
      <c r="GV29">
        <f t="shared" si="50"/>
        <v>0</v>
      </c>
      <c r="GW29">
        <v>1</v>
      </c>
      <c r="GX29">
        <f t="shared" si="51"/>
        <v>0</v>
      </c>
      <c r="HA29">
        <v>0</v>
      </c>
      <c r="HB29">
        <v>0</v>
      </c>
      <c r="HC29">
        <f t="shared" si="52"/>
        <v>0</v>
      </c>
      <c r="HE29" t="s">
        <v>3</v>
      </c>
      <c r="HF29" t="s">
        <v>3</v>
      </c>
      <c r="IK29">
        <v>0</v>
      </c>
    </row>
    <row r="30" spans="1:245" x14ac:dyDescent="0.2">
      <c r="A30">
        <v>17</v>
      </c>
      <c r="B30">
        <v>1</v>
      </c>
      <c r="E30" t="s">
        <v>40</v>
      </c>
      <c r="F30" t="s">
        <v>34</v>
      </c>
      <c r="G30" t="s">
        <v>41</v>
      </c>
      <c r="H30" t="s">
        <v>36</v>
      </c>
      <c r="I30">
        <v>8</v>
      </c>
      <c r="J30">
        <v>0</v>
      </c>
      <c r="O30">
        <f t="shared" si="21"/>
        <v>9666.0300000000007</v>
      </c>
      <c r="P30">
        <f t="shared" si="22"/>
        <v>0</v>
      </c>
      <c r="Q30">
        <f>(ROUND((ROUND(((((ET30*0.5)*1.2))*AV30*I30),2)*BB30),2)+ROUND((ROUND(((AE30-(((EU30*0.5)*1.2)))*AV30*I30),2)*BS30),2))</f>
        <v>2985.23</v>
      </c>
      <c r="R30">
        <f t="shared" si="23"/>
        <v>1208.73</v>
      </c>
      <c r="S30">
        <f t="shared" si="24"/>
        <v>6680.8</v>
      </c>
      <c r="T30">
        <f t="shared" si="25"/>
        <v>0</v>
      </c>
      <c r="U30">
        <f t="shared" si="26"/>
        <v>20.705471999999997</v>
      </c>
      <c r="V30">
        <f t="shared" si="27"/>
        <v>0</v>
      </c>
      <c r="W30">
        <f t="shared" si="28"/>
        <v>0</v>
      </c>
      <c r="X30">
        <f t="shared" si="29"/>
        <v>5144.22</v>
      </c>
      <c r="Y30">
        <f t="shared" si="30"/>
        <v>2739.13</v>
      </c>
      <c r="AA30">
        <v>23440596</v>
      </c>
      <c r="AB30">
        <f t="shared" si="31"/>
        <v>74.364000000000004</v>
      </c>
      <c r="AC30">
        <f>ROUND(((ES30*0)),6)</f>
        <v>0</v>
      </c>
      <c r="AD30">
        <f>ROUND((((((ET30*0.5)*1.2))-(((EU30*0.5)*1.2)))+AE30),6)</f>
        <v>42.228000000000002</v>
      </c>
      <c r="AE30">
        <f>ROUND((((EU30*0.5)*1.2)),6)</f>
        <v>5.8140000000000001</v>
      </c>
      <c r="AF30">
        <f>ROUND((((EV30*0.5)*1.2)),6)</f>
        <v>32.136000000000003</v>
      </c>
      <c r="AG30">
        <f t="shared" si="32"/>
        <v>0</v>
      </c>
      <c r="AH30">
        <f>(((EW30*0.5)*1.2))</f>
        <v>2.472</v>
      </c>
      <c r="AI30">
        <f>(((EX30*0.5)*1.2))</f>
        <v>0</v>
      </c>
      <c r="AJ30">
        <f t="shared" si="33"/>
        <v>0</v>
      </c>
      <c r="AK30">
        <v>277.24</v>
      </c>
      <c r="AL30">
        <v>153.30000000000001</v>
      </c>
      <c r="AM30">
        <v>70.38</v>
      </c>
      <c r="AN30">
        <v>9.69</v>
      </c>
      <c r="AO30">
        <v>53.56</v>
      </c>
      <c r="AP30">
        <v>0</v>
      </c>
      <c r="AQ30">
        <v>4.12</v>
      </c>
      <c r="AR30">
        <v>0</v>
      </c>
      <c r="AS30">
        <v>0</v>
      </c>
      <c r="AT30">
        <v>77</v>
      </c>
      <c r="AU30">
        <v>41</v>
      </c>
      <c r="AV30">
        <v>1.0469999999999999</v>
      </c>
      <c r="AW30">
        <v>1</v>
      </c>
      <c r="AZ30">
        <v>1</v>
      </c>
      <c r="BA30">
        <v>24.82</v>
      </c>
      <c r="BB30">
        <v>8.44</v>
      </c>
      <c r="BC30">
        <v>5.29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2</v>
      </c>
      <c r="BJ30" t="s">
        <v>37</v>
      </c>
      <c r="BM30">
        <v>333</v>
      </c>
      <c r="BN30">
        <v>0</v>
      </c>
      <c r="BO30" t="s">
        <v>34</v>
      </c>
      <c r="BP30">
        <v>1</v>
      </c>
      <c r="BQ30">
        <v>40</v>
      </c>
      <c r="BR30">
        <v>0</v>
      </c>
      <c r="BS30">
        <v>24.82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77</v>
      </c>
      <c r="CA30">
        <v>41</v>
      </c>
      <c r="CE30">
        <v>30</v>
      </c>
      <c r="CF30">
        <v>0</v>
      </c>
      <c r="CG30">
        <v>0</v>
      </c>
      <c r="CM30">
        <v>0</v>
      </c>
      <c r="CN30" t="s">
        <v>241</v>
      </c>
      <c r="CO30">
        <v>0</v>
      </c>
      <c r="CP30">
        <f t="shared" si="34"/>
        <v>9666.0300000000007</v>
      </c>
      <c r="CQ30">
        <f t="shared" si="35"/>
        <v>0</v>
      </c>
      <c r="CR30">
        <f>(ROUND((ROUND(((((ET30*0.5)*1.2))*AV30*1),2)*BB30),2)+ROUND((ROUND(((AE30-(((EU30*0.5)*1.2)))*AV30*1),2)*BS30),2))</f>
        <v>373.13</v>
      </c>
      <c r="CS30">
        <f t="shared" si="36"/>
        <v>151.15</v>
      </c>
      <c r="CT30">
        <f t="shared" si="37"/>
        <v>835.19</v>
      </c>
      <c r="CU30">
        <f t="shared" si="38"/>
        <v>0</v>
      </c>
      <c r="CV30">
        <f t="shared" si="39"/>
        <v>2.5881839999999996</v>
      </c>
      <c r="CW30">
        <f t="shared" si="40"/>
        <v>0</v>
      </c>
      <c r="CX30">
        <f t="shared" si="41"/>
        <v>0</v>
      </c>
      <c r="CY30">
        <f t="shared" si="42"/>
        <v>5144.2160000000003</v>
      </c>
      <c r="CZ30">
        <f t="shared" si="43"/>
        <v>2739.1279999999997</v>
      </c>
      <c r="DC30" t="s">
        <v>3</v>
      </c>
      <c r="DD30" t="s">
        <v>42</v>
      </c>
      <c r="DE30" t="s">
        <v>43</v>
      </c>
      <c r="DF30" t="s">
        <v>43</v>
      </c>
      <c r="DG30" t="s">
        <v>43</v>
      </c>
      <c r="DH30" t="s">
        <v>3</v>
      </c>
      <c r="DI30" t="s">
        <v>43</v>
      </c>
      <c r="DJ30" t="s">
        <v>43</v>
      </c>
      <c r="DK30" t="s">
        <v>3</v>
      </c>
      <c r="DL30" t="s">
        <v>3</v>
      </c>
      <c r="DM30" t="s">
        <v>3</v>
      </c>
      <c r="DN30">
        <v>114</v>
      </c>
      <c r="DO30">
        <v>67</v>
      </c>
      <c r="DP30">
        <v>1.0469999999999999</v>
      </c>
      <c r="DQ30">
        <v>1</v>
      </c>
      <c r="DU30">
        <v>1010</v>
      </c>
      <c r="DV30" t="s">
        <v>36</v>
      </c>
      <c r="DW30" t="s">
        <v>36</v>
      </c>
      <c r="DX30">
        <v>1</v>
      </c>
      <c r="DZ30" t="s">
        <v>3</v>
      </c>
      <c r="EA30" t="s">
        <v>3</v>
      </c>
      <c r="EB30" t="s">
        <v>3</v>
      </c>
      <c r="EC30" t="s">
        <v>3</v>
      </c>
      <c r="EE30">
        <v>22827174</v>
      </c>
      <c r="EF30">
        <v>40</v>
      </c>
      <c r="EG30" t="s">
        <v>29</v>
      </c>
      <c r="EH30">
        <v>0</v>
      </c>
      <c r="EI30" t="s">
        <v>3</v>
      </c>
      <c r="EJ30">
        <v>2</v>
      </c>
      <c r="EK30">
        <v>333</v>
      </c>
      <c r="EL30" t="s">
        <v>38</v>
      </c>
      <c r="EM30" t="s">
        <v>39</v>
      </c>
      <c r="EO30" t="s">
        <v>44</v>
      </c>
      <c r="EQ30">
        <v>0</v>
      </c>
      <c r="ER30">
        <v>277.24</v>
      </c>
      <c r="ES30">
        <v>153.30000000000001</v>
      </c>
      <c r="ET30">
        <v>70.38</v>
      </c>
      <c r="EU30">
        <v>9.69</v>
      </c>
      <c r="EV30">
        <v>53.56</v>
      </c>
      <c r="EW30">
        <v>4.12</v>
      </c>
      <c r="EX30">
        <v>0</v>
      </c>
      <c r="EY30">
        <v>0</v>
      </c>
      <c r="FQ30">
        <v>0</v>
      </c>
      <c r="FR30">
        <f t="shared" si="44"/>
        <v>0</v>
      </c>
      <c r="FS30">
        <v>0</v>
      </c>
      <c r="FX30">
        <v>114</v>
      </c>
      <c r="FY30">
        <v>67</v>
      </c>
      <c r="GA30" t="s">
        <v>3</v>
      </c>
      <c r="GD30">
        <v>0</v>
      </c>
      <c r="GF30">
        <v>-1191195900</v>
      </c>
      <c r="GG30">
        <v>2</v>
      </c>
      <c r="GH30">
        <v>1</v>
      </c>
      <c r="GI30">
        <v>2</v>
      </c>
      <c r="GJ30">
        <v>0</v>
      </c>
      <c r="GK30">
        <f>ROUND(R30*(R12)/100,2)</f>
        <v>1897.71</v>
      </c>
      <c r="GL30">
        <f t="shared" si="45"/>
        <v>0</v>
      </c>
      <c r="GM30">
        <f t="shared" si="46"/>
        <v>19447.09</v>
      </c>
      <c r="GN30">
        <f t="shared" si="47"/>
        <v>0</v>
      </c>
      <c r="GO30">
        <f t="shared" si="48"/>
        <v>19447.09</v>
      </c>
      <c r="GP30">
        <f t="shared" si="49"/>
        <v>0</v>
      </c>
      <c r="GR30">
        <v>0</v>
      </c>
      <c r="GS30">
        <v>0</v>
      </c>
      <c r="GT30">
        <v>0</v>
      </c>
      <c r="GU30" t="s">
        <v>3</v>
      </c>
      <c r="GV30">
        <f t="shared" si="50"/>
        <v>0</v>
      </c>
      <c r="GW30">
        <v>1</v>
      </c>
      <c r="GX30">
        <f t="shared" si="51"/>
        <v>0</v>
      </c>
      <c r="HA30">
        <v>0</v>
      </c>
      <c r="HB30">
        <v>0</v>
      </c>
      <c r="HC30">
        <f t="shared" si="52"/>
        <v>0</v>
      </c>
      <c r="HE30" t="s">
        <v>3</v>
      </c>
      <c r="HF30" t="s">
        <v>3</v>
      </c>
      <c r="IK30">
        <v>0</v>
      </c>
    </row>
    <row r="31" spans="1:245" x14ac:dyDescent="0.2">
      <c r="A31">
        <v>17</v>
      </c>
      <c r="B31">
        <v>1</v>
      </c>
      <c r="E31" t="s">
        <v>45</v>
      </c>
      <c r="F31" t="s">
        <v>46</v>
      </c>
      <c r="G31" t="s">
        <v>47</v>
      </c>
      <c r="H31" t="s">
        <v>48</v>
      </c>
      <c r="I31">
        <f>ROUND((24)/100,9)</f>
        <v>0.24</v>
      </c>
      <c r="J31">
        <v>0</v>
      </c>
      <c r="O31">
        <f t="shared" si="21"/>
        <v>6205.01</v>
      </c>
      <c r="P31">
        <f t="shared" si="22"/>
        <v>102.91</v>
      </c>
      <c r="Q31">
        <f>(ROUND((ROUND((((ET31*1.2))*AV31*I31),2)*BB31),2)+ROUND((ROUND(((AE31-((EU31*1.2)))*AV31*I31),2)*BS31),2))</f>
        <v>1567.94</v>
      </c>
      <c r="R31">
        <f t="shared" si="23"/>
        <v>784.34</v>
      </c>
      <c r="S31">
        <f t="shared" si="24"/>
        <v>4534.16</v>
      </c>
      <c r="T31">
        <f t="shared" si="25"/>
        <v>0</v>
      </c>
      <c r="U31">
        <f t="shared" si="26"/>
        <v>16.765401600000001</v>
      </c>
      <c r="V31">
        <f t="shared" si="27"/>
        <v>0</v>
      </c>
      <c r="W31">
        <f t="shared" si="28"/>
        <v>0</v>
      </c>
      <c r="X31">
        <f t="shared" si="29"/>
        <v>3491.3</v>
      </c>
      <c r="Y31">
        <f t="shared" si="30"/>
        <v>1859.01</v>
      </c>
      <c r="AA31">
        <v>23440596</v>
      </c>
      <c r="AB31">
        <f t="shared" si="31"/>
        <v>1550.96</v>
      </c>
      <c r="AC31">
        <f>ROUND((ES31),6)</f>
        <v>81.2</v>
      </c>
      <c r="AD31">
        <f>ROUND(((((ET31*1.2))-((EU31*1.2)))+AE31),6)</f>
        <v>627.75599999999997</v>
      </c>
      <c r="AE31">
        <f>ROUND(((EU31*1.2)),6)</f>
        <v>145.65600000000001</v>
      </c>
      <c r="AF31">
        <f>ROUND(((EV31*1.2)),6)</f>
        <v>842.00400000000002</v>
      </c>
      <c r="AG31">
        <f t="shared" si="32"/>
        <v>0</v>
      </c>
      <c r="AH31">
        <f>((EW31*1.2))</f>
        <v>66.72</v>
      </c>
      <c r="AI31">
        <f>((EX31*1.2))</f>
        <v>0</v>
      </c>
      <c r="AJ31">
        <f t="shared" si="33"/>
        <v>0</v>
      </c>
      <c r="AK31">
        <v>1306</v>
      </c>
      <c r="AL31">
        <v>81.2</v>
      </c>
      <c r="AM31">
        <v>523.13</v>
      </c>
      <c r="AN31">
        <v>121.38</v>
      </c>
      <c r="AO31">
        <v>701.67</v>
      </c>
      <c r="AP31">
        <v>0</v>
      </c>
      <c r="AQ31">
        <v>55.6</v>
      </c>
      <c r="AR31">
        <v>0</v>
      </c>
      <c r="AS31">
        <v>0</v>
      </c>
      <c r="AT31">
        <v>77</v>
      </c>
      <c r="AU31">
        <v>41</v>
      </c>
      <c r="AV31">
        <v>1.0469999999999999</v>
      </c>
      <c r="AW31">
        <v>1</v>
      </c>
      <c r="AZ31">
        <v>1</v>
      </c>
      <c r="BA31">
        <v>21.43</v>
      </c>
      <c r="BB31">
        <v>9.94</v>
      </c>
      <c r="BC31">
        <v>5.28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49</v>
      </c>
      <c r="BM31">
        <v>317</v>
      </c>
      <c r="BN31">
        <v>0</v>
      </c>
      <c r="BO31" t="s">
        <v>46</v>
      </c>
      <c r="BP31">
        <v>1</v>
      </c>
      <c r="BQ31">
        <v>40</v>
      </c>
      <c r="BR31">
        <v>0</v>
      </c>
      <c r="BS31">
        <v>21.43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77</v>
      </c>
      <c r="CA31">
        <v>41</v>
      </c>
      <c r="CE31">
        <v>30</v>
      </c>
      <c r="CF31">
        <v>0</v>
      </c>
      <c r="CG31">
        <v>0</v>
      </c>
      <c r="CM31">
        <v>0</v>
      </c>
      <c r="CN31" t="s">
        <v>240</v>
      </c>
      <c r="CO31">
        <v>0</v>
      </c>
      <c r="CP31">
        <f t="shared" si="34"/>
        <v>6205.01</v>
      </c>
      <c r="CQ31">
        <f t="shared" si="35"/>
        <v>428.74</v>
      </c>
      <c r="CR31">
        <f>(ROUND((ROUND((((ET31*1.2))*AV31*1),2)*BB31),2)+ROUND((ROUND(((AE31-((EU31*1.2)))*AV31*1),2)*BS31),2))</f>
        <v>6533.16</v>
      </c>
      <c r="CS31">
        <f t="shared" si="36"/>
        <v>3268.08</v>
      </c>
      <c r="CT31">
        <f t="shared" si="37"/>
        <v>18892.259999999998</v>
      </c>
      <c r="CU31">
        <f t="shared" si="38"/>
        <v>0</v>
      </c>
      <c r="CV31">
        <f t="shared" si="39"/>
        <v>69.855840000000001</v>
      </c>
      <c r="CW31">
        <f t="shared" si="40"/>
        <v>0</v>
      </c>
      <c r="CX31">
        <f t="shared" si="41"/>
        <v>0</v>
      </c>
      <c r="CY31">
        <f t="shared" si="42"/>
        <v>3491.3031999999998</v>
      </c>
      <c r="CZ31">
        <f t="shared" si="43"/>
        <v>1859.0055999999997</v>
      </c>
      <c r="DC31" t="s">
        <v>3</v>
      </c>
      <c r="DD31" t="s">
        <v>3</v>
      </c>
      <c r="DE31" t="s">
        <v>28</v>
      </c>
      <c r="DF31" t="s">
        <v>28</v>
      </c>
      <c r="DG31" t="s">
        <v>28</v>
      </c>
      <c r="DH31" t="s">
        <v>3</v>
      </c>
      <c r="DI31" t="s">
        <v>28</v>
      </c>
      <c r="DJ31" t="s">
        <v>28</v>
      </c>
      <c r="DK31" t="s">
        <v>3</v>
      </c>
      <c r="DL31" t="s">
        <v>3</v>
      </c>
      <c r="DM31" t="s">
        <v>3</v>
      </c>
      <c r="DN31">
        <v>114</v>
      </c>
      <c r="DO31">
        <v>67</v>
      </c>
      <c r="DP31">
        <v>1.0469999999999999</v>
      </c>
      <c r="DQ31">
        <v>1</v>
      </c>
      <c r="DU31">
        <v>1003</v>
      </c>
      <c r="DV31" t="s">
        <v>48</v>
      </c>
      <c r="DW31" t="s">
        <v>48</v>
      </c>
      <c r="DX31">
        <v>100</v>
      </c>
      <c r="DZ31" t="s">
        <v>3</v>
      </c>
      <c r="EA31" t="s">
        <v>3</v>
      </c>
      <c r="EB31" t="s">
        <v>3</v>
      </c>
      <c r="EC31" t="s">
        <v>3</v>
      </c>
      <c r="EE31">
        <v>22827158</v>
      </c>
      <c r="EF31">
        <v>40</v>
      </c>
      <c r="EG31" t="s">
        <v>29</v>
      </c>
      <c r="EH31">
        <v>0</v>
      </c>
      <c r="EI31" t="s">
        <v>3</v>
      </c>
      <c r="EJ31">
        <v>2</v>
      </c>
      <c r="EK31">
        <v>317</v>
      </c>
      <c r="EL31" t="s">
        <v>30</v>
      </c>
      <c r="EM31" t="s">
        <v>31</v>
      </c>
      <c r="EO31" t="s">
        <v>32</v>
      </c>
      <c r="EQ31">
        <v>0</v>
      </c>
      <c r="ER31">
        <v>1306</v>
      </c>
      <c r="ES31">
        <v>81.2</v>
      </c>
      <c r="ET31">
        <v>523.13</v>
      </c>
      <c r="EU31">
        <v>121.38</v>
      </c>
      <c r="EV31">
        <v>701.67</v>
      </c>
      <c r="EW31">
        <v>55.6</v>
      </c>
      <c r="EX31">
        <v>0</v>
      </c>
      <c r="EY31">
        <v>0</v>
      </c>
      <c r="FQ31">
        <v>0</v>
      </c>
      <c r="FR31">
        <f t="shared" si="44"/>
        <v>0</v>
      </c>
      <c r="FS31">
        <v>0</v>
      </c>
      <c r="FX31">
        <v>114</v>
      </c>
      <c r="FY31">
        <v>67</v>
      </c>
      <c r="GA31" t="s">
        <v>3</v>
      </c>
      <c r="GD31">
        <v>0</v>
      </c>
      <c r="GF31">
        <v>1944014505</v>
      </c>
      <c r="GG31">
        <v>2</v>
      </c>
      <c r="GH31">
        <v>1</v>
      </c>
      <c r="GI31">
        <v>2</v>
      </c>
      <c r="GJ31">
        <v>0</v>
      </c>
      <c r="GK31">
        <f>ROUND(R31*(R12)/100,2)</f>
        <v>1231.4100000000001</v>
      </c>
      <c r="GL31">
        <f t="shared" si="45"/>
        <v>0</v>
      </c>
      <c r="GM31">
        <f t="shared" si="46"/>
        <v>12786.73</v>
      </c>
      <c r="GN31">
        <f t="shared" si="47"/>
        <v>0</v>
      </c>
      <c r="GO31">
        <f t="shared" si="48"/>
        <v>12786.73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HC31">
        <f t="shared" si="52"/>
        <v>0</v>
      </c>
      <c r="HE31" t="s">
        <v>3</v>
      </c>
      <c r="HF31" t="s">
        <v>3</v>
      </c>
      <c r="IK31">
        <v>0</v>
      </c>
    </row>
    <row r="32" spans="1:245" x14ac:dyDescent="0.2">
      <c r="A32">
        <v>17</v>
      </c>
      <c r="B32">
        <v>1</v>
      </c>
      <c r="E32" t="s">
        <v>50</v>
      </c>
      <c r="F32" t="s">
        <v>51</v>
      </c>
      <c r="G32" t="s">
        <v>52</v>
      </c>
      <c r="H32" t="s">
        <v>48</v>
      </c>
      <c r="I32">
        <f>ROUND(16/100,9)</f>
        <v>0.16</v>
      </c>
      <c r="J32">
        <v>0</v>
      </c>
      <c r="O32">
        <f t="shared" si="21"/>
        <v>1558.75</v>
      </c>
      <c r="P32">
        <f t="shared" si="22"/>
        <v>24.92</v>
      </c>
      <c r="Q32">
        <f>(ROUND((ROUND((((ET32*1.2))*AV32*I32),2)*BB32),2)+ROUND((ROUND(((AE32-((EU32*1.2)))*AV32*I32),2)*BS32),2))</f>
        <v>524.4</v>
      </c>
      <c r="R32">
        <f t="shared" si="23"/>
        <v>381.73</v>
      </c>
      <c r="S32">
        <f t="shared" si="24"/>
        <v>1009.43</v>
      </c>
      <c r="T32">
        <f t="shared" si="25"/>
        <v>0</v>
      </c>
      <c r="U32">
        <f t="shared" si="26"/>
        <v>3.2983103999999996</v>
      </c>
      <c r="V32">
        <f t="shared" si="27"/>
        <v>0</v>
      </c>
      <c r="W32">
        <f t="shared" si="28"/>
        <v>0</v>
      </c>
      <c r="X32">
        <f t="shared" si="29"/>
        <v>777.26</v>
      </c>
      <c r="Y32">
        <f t="shared" si="30"/>
        <v>413.87</v>
      </c>
      <c r="AA32">
        <v>23440596</v>
      </c>
      <c r="AB32">
        <f t="shared" si="31"/>
        <v>821.91800000000001</v>
      </c>
      <c r="AC32">
        <f>ROUND((ES32),6)</f>
        <v>27.23</v>
      </c>
      <c r="AD32">
        <f>ROUND(((((ET32*1.2))-((EU32*1.2)))+AE32),6)</f>
        <v>556.476</v>
      </c>
      <c r="AE32">
        <f>ROUND(((EU32*1.2)),6)</f>
        <v>90.096000000000004</v>
      </c>
      <c r="AF32">
        <f>ROUND(((EV32*1.2)),6)</f>
        <v>238.21199999999999</v>
      </c>
      <c r="AG32">
        <f t="shared" si="32"/>
        <v>0</v>
      </c>
      <c r="AH32">
        <f>((EW32*1.2))</f>
        <v>19.32</v>
      </c>
      <c r="AI32">
        <f>((EX32*1.2))</f>
        <v>0</v>
      </c>
      <c r="AJ32">
        <f t="shared" si="33"/>
        <v>0</v>
      </c>
      <c r="AK32">
        <v>689.47</v>
      </c>
      <c r="AL32">
        <v>27.23</v>
      </c>
      <c r="AM32">
        <v>463.73</v>
      </c>
      <c r="AN32">
        <v>75.08</v>
      </c>
      <c r="AO32">
        <v>198.51</v>
      </c>
      <c r="AP32">
        <v>0</v>
      </c>
      <c r="AQ32">
        <v>16.100000000000001</v>
      </c>
      <c r="AR32">
        <v>0</v>
      </c>
      <c r="AS32">
        <v>0</v>
      </c>
      <c r="AT32">
        <v>77</v>
      </c>
      <c r="AU32">
        <v>41</v>
      </c>
      <c r="AV32">
        <v>1.0669999999999999</v>
      </c>
      <c r="AW32">
        <v>1.081</v>
      </c>
      <c r="AZ32">
        <v>1</v>
      </c>
      <c r="BA32">
        <v>24.82</v>
      </c>
      <c r="BB32">
        <v>5.52</v>
      </c>
      <c r="BC32">
        <v>5.29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2</v>
      </c>
      <c r="BJ32" t="s">
        <v>53</v>
      </c>
      <c r="BM32">
        <v>318</v>
      </c>
      <c r="BN32">
        <v>0</v>
      </c>
      <c r="BO32" t="s">
        <v>51</v>
      </c>
      <c r="BP32">
        <v>1</v>
      </c>
      <c r="BQ32">
        <v>40</v>
      </c>
      <c r="BR32">
        <v>0</v>
      </c>
      <c r="BS32">
        <v>24.82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77</v>
      </c>
      <c r="CA32">
        <v>41</v>
      </c>
      <c r="CE32">
        <v>30</v>
      </c>
      <c r="CF32">
        <v>0</v>
      </c>
      <c r="CG32">
        <v>0</v>
      </c>
      <c r="CM32">
        <v>0</v>
      </c>
      <c r="CN32" t="s">
        <v>240</v>
      </c>
      <c r="CO32">
        <v>0</v>
      </c>
      <c r="CP32">
        <f t="shared" si="34"/>
        <v>1558.75</v>
      </c>
      <c r="CQ32">
        <f t="shared" si="35"/>
        <v>155.74</v>
      </c>
      <c r="CR32">
        <f>(ROUND((ROUND((((ET32*1.2))*AV32*1),2)*BB32),2)+ROUND((ROUND(((AE32-((EU32*1.2)))*AV32*1),2)*BS32),2))</f>
        <v>3277.56</v>
      </c>
      <c r="CS32">
        <f t="shared" si="36"/>
        <v>2385.9499999999998</v>
      </c>
      <c r="CT32">
        <f t="shared" si="37"/>
        <v>6308.5</v>
      </c>
      <c r="CU32">
        <f t="shared" si="38"/>
        <v>0</v>
      </c>
      <c r="CV32">
        <f t="shared" si="39"/>
        <v>20.614439999999998</v>
      </c>
      <c r="CW32">
        <f t="shared" si="40"/>
        <v>0</v>
      </c>
      <c r="CX32">
        <f t="shared" si="41"/>
        <v>0</v>
      </c>
      <c r="CY32">
        <f t="shared" si="42"/>
        <v>777.26109999999994</v>
      </c>
      <c r="CZ32">
        <f t="shared" si="43"/>
        <v>413.86629999999997</v>
      </c>
      <c r="DC32" t="s">
        <v>3</v>
      </c>
      <c r="DD32" t="s">
        <v>3</v>
      </c>
      <c r="DE32" t="s">
        <v>28</v>
      </c>
      <c r="DF32" t="s">
        <v>28</v>
      </c>
      <c r="DG32" t="s">
        <v>28</v>
      </c>
      <c r="DH32" t="s">
        <v>3</v>
      </c>
      <c r="DI32" t="s">
        <v>28</v>
      </c>
      <c r="DJ32" t="s">
        <v>28</v>
      </c>
      <c r="DK32" t="s">
        <v>3</v>
      </c>
      <c r="DL32" t="s">
        <v>3</v>
      </c>
      <c r="DM32" t="s">
        <v>3</v>
      </c>
      <c r="DN32">
        <v>114</v>
      </c>
      <c r="DO32">
        <v>67</v>
      </c>
      <c r="DP32">
        <v>1.0669999999999999</v>
      </c>
      <c r="DQ32">
        <v>1.081</v>
      </c>
      <c r="DU32">
        <v>1003</v>
      </c>
      <c r="DV32" t="s">
        <v>48</v>
      </c>
      <c r="DW32" t="s">
        <v>48</v>
      </c>
      <c r="DX32">
        <v>100</v>
      </c>
      <c r="DZ32" t="s">
        <v>3</v>
      </c>
      <c r="EA32" t="s">
        <v>3</v>
      </c>
      <c r="EB32" t="s">
        <v>3</v>
      </c>
      <c r="EC32" t="s">
        <v>3</v>
      </c>
      <c r="EE32">
        <v>22827159</v>
      </c>
      <c r="EF32">
        <v>40</v>
      </c>
      <c r="EG32" t="s">
        <v>29</v>
      </c>
      <c r="EH32">
        <v>0</v>
      </c>
      <c r="EI32" t="s">
        <v>3</v>
      </c>
      <c r="EJ32">
        <v>2</v>
      </c>
      <c r="EK32">
        <v>318</v>
      </c>
      <c r="EL32" t="s">
        <v>54</v>
      </c>
      <c r="EM32" t="s">
        <v>55</v>
      </c>
      <c r="EO32" t="s">
        <v>32</v>
      </c>
      <c r="EQ32">
        <v>0</v>
      </c>
      <c r="ER32">
        <v>689.47</v>
      </c>
      <c r="ES32">
        <v>27.23</v>
      </c>
      <c r="ET32">
        <v>463.73</v>
      </c>
      <c r="EU32">
        <v>75.08</v>
      </c>
      <c r="EV32">
        <v>198.51</v>
      </c>
      <c r="EW32">
        <v>16.100000000000001</v>
      </c>
      <c r="EX32">
        <v>0</v>
      </c>
      <c r="EY32">
        <v>0</v>
      </c>
      <c r="FQ32">
        <v>0</v>
      </c>
      <c r="FR32">
        <f t="shared" si="44"/>
        <v>0</v>
      </c>
      <c r="FS32">
        <v>0</v>
      </c>
      <c r="FX32">
        <v>114</v>
      </c>
      <c r="FY32">
        <v>67</v>
      </c>
      <c r="GA32" t="s">
        <v>3</v>
      </c>
      <c r="GD32">
        <v>0</v>
      </c>
      <c r="GF32">
        <v>-1964763901</v>
      </c>
      <c r="GG32">
        <v>2</v>
      </c>
      <c r="GH32">
        <v>1</v>
      </c>
      <c r="GI32">
        <v>2</v>
      </c>
      <c r="GJ32">
        <v>0</v>
      </c>
      <c r="GK32">
        <f>ROUND(R32*(R12)/100,2)</f>
        <v>599.32000000000005</v>
      </c>
      <c r="GL32">
        <f t="shared" si="45"/>
        <v>0</v>
      </c>
      <c r="GM32">
        <f t="shared" si="46"/>
        <v>3349.2</v>
      </c>
      <c r="GN32">
        <f t="shared" si="47"/>
        <v>0</v>
      </c>
      <c r="GO32">
        <f t="shared" si="48"/>
        <v>3349.2</v>
      </c>
      <c r="GP32">
        <f t="shared" si="49"/>
        <v>0</v>
      </c>
      <c r="GR32">
        <v>0</v>
      </c>
      <c r="GS32">
        <v>0</v>
      </c>
      <c r="GT32">
        <v>0</v>
      </c>
      <c r="GU32" t="s">
        <v>3</v>
      </c>
      <c r="GV32">
        <f t="shared" si="50"/>
        <v>0</v>
      </c>
      <c r="GW32">
        <v>1</v>
      </c>
      <c r="GX32">
        <f t="shared" si="51"/>
        <v>0</v>
      </c>
      <c r="HA32">
        <v>0</v>
      </c>
      <c r="HB32">
        <v>0</v>
      </c>
      <c r="HC32">
        <f t="shared" si="52"/>
        <v>0</v>
      </c>
      <c r="HE32" t="s">
        <v>3</v>
      </c>
      <c r="HF32" t="s">
        <v>3</v>
      </c>
      <c r="IK32">
        <v>0</v>
      </c>
    </row>
    <row r="33" spans="1:245" x14ac:dyDescent="0.2">
      <c r="A33">
        <v>17</v>
      </c>
      <c r="B33">
        <v>1</v>
      </c>
      <c r="E33" t="s">
        <v>56</v>
      </c>
      <c r="F33" t="s">
        <v>51</v>
      </c>
      <c r="G33" t="s">
        <v>57</v>
      </c>
      <c r="H33" t="s">
        <v>48</v>
      </c>
      <c r="I33">
        <f>ROUND((16)/100,9)</f>
        <v>0.16</v>
      </c>
      <c r="J33">
        <v>0</v>
      </c>
      <c r="O33">
        <f t="shared" si="21"/>
        <v>613.58000000000004</v>
      </c>
      <c r="P33">
        <f t="shared" si="22"/>
        <v>0</v>
      </c>
      <c r="Q33">
        <f>(ROUND((ROUND(((((ET33*0.4)*1.2))*AV33*I33),2)*BB33),2)+ROUND((ROUND(((AE33-(((EU33*0.4)*1.2)))*AV33*I33),2)*BS33),2))</f>
        <v>209.76</v>
      </c>
      <c r="R33">
        <f t="shared" si="23"/>
        <v>152.63999999999999</v>
      </c>
      <c r="S33">
        <f t="shared" si="24"/>
        <v>403.82</v>
      </c>
      <c r="T33">
        <f t="shared" si="25"/>
        <v>0</v>
      </c>
      <c r="U33">
        <f t="shared" si="26"/>
        <v>1.3193241600000003</v>
      </c>
      <c r="V33">
        <f t="shared" si="27"/>
        <v>0</v>
      </c>
      <c r="W33">
        <f t="shared" si="28"/>
        <v>0</v>
      </c>
      <c r="X33">
        <f t="shared" si="29"/>
        <v>310.94</v>
      </c>
      <c r="Y33">
        <f t="shared" si="30"/>
        <v>165.57</v>
      </c>
      <c r="AA33">
        <v>23440596</v>
      </c>
      <c r="AB33">
        <f t="shared" si="31"/>
        <v>317.87520000000001</v>
      </c>
      <c r="AC33">
        <f>ROUND(((ES33*0)),6)</f>
        <v>0</v>
      </c>
      <c r="AD33">
        <f>ROUND((((((ET33*0.4)*1.2))-(((EU33*0.4)*1.2)))+AE33),6)</f>
        <v>222.59039999999999</v>
      </c>
      <c r="AE33">
        <f>ROUND((((EU33*0.4)*1.2)),6)</f>
        <v>36.038400000000003</v>
      </c>
      <c r="AF33">
        <f>ROUND((((EV33*0.4)*1.2)),6)</f>
        <v>95.284800000000004</v>
      </c>
      <c r="AG33">
        <f t="shared" si="32"/>
        <v>0</v>
      </c>
      <c r="AH33">
        <f>(((EW33*0.4)*1.2))</f>
        <v>7.7280000000000015</v>
      </c>
      <c r="AI33">
        <f>(((EX33*0.4)*1.2))</f>
        <v>0</v>
      </c>
      <c r="AJ33">
        <f t="shared" si="33"/>
        <v>0</v>
      </c>
      <c r="AK33">
        <v>689.47</v>
      </c>
      <c r="AL33">
        <v>27.23</v>
      </c>
      <c r="AM33">
        <v>463.73</v>
      </c>
      <c r="AN33">
        <v>75.08</v>
      </c>
      <c r="AO33">
        <v>198.51</v>
      </c>
      <c r="AP33">
        <v>0</v>
      </c>
      <c r="AQ33">
        <v>16.100000000000001</v>
      </c>
      <c r="AR33">
        <v>0</v>
      </c>
      <c r="AS33">
        <v>0</v>
      </c>
      <c r="AT33">
        <v>77</v>
      </c>
      <c r="AU33">
        <v>41</v>
      </c>
      <c r="AV33">
        <v>1.0669999999999999</v>
      </c>
      <c r="AW33">
        <v>1.081</v>
      </c>
      <c r="AZ33">
        <v>1</v>
      </c>
      <c r="BA33">
        <v>24.82</v>
      </c>
      <c r="BB33">
        <v>5.52</v>
      </c>
      <c r="BC33">
        <v>5.29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53</v>
      </c>
      <c r="BM33">
        <v>318</v>
      </c>
      <c r="BN33">
        <v>0</v>
      </c>
      <c r="BO33" t="s">
        <v>51</v>
      </c>
      <c r="BP33">
        <v>1</v>
      </c>
      <c r="BQ33">
        <v>40</v>
      </c>
      <c r="BR33">
        <v>0</v>
      </c>
      <c r="BS33">
        <v>24.82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77</v>
      </c>
      <c r="CA33">
        <v>41</v>
      </c>
      <c r="CE33">
        <v>30</v>
      </c>
      <c r="CF33">
        <v>0</v>
      </c>
      <c r="CG33">
        <v>0</v>
      </c>
      <c r="CM33">
        <v>0</v>
      </c>
      <c r="CN33" t="s">
        <v>242</v>
      </c>
      <c r="CO33">
        <v>0</v>
      </c>
      <c r="CP33">
        <f t="shared" si="34"/>
        <v>613.57999999999993</v>
      </c>
      <c r="CQ33">
        <f t="shared" si="35"/>
        <v>0</v>
      </c>
      <c r="CR33">
        <f>(ROUND((ROUND(((((ET33*0.4)*1.2))*AV33*1),2)*BB33),2)+ROUND((ROUND(((AE33-(((EU33*0.4)*1.2)))*AV33*1),2)*BS33),2))</f>
        <v>1311</v>
      </c>
      <c r="CS33">
        <f t="shared" si="36"/>
        <v>954.33</v>
      </c>
      <c r="CT33">
        <f t="shared" si="37"/>
        <v>2523.4499999999998</v>
      </c>
      <c r="CU33">
        <f t="shared" si="38"/>
        <v>0</v>
      </c>
      <c r="CV33">
        <f t="shared" si="39"/>
        <v>8.2457760000000011</v>
      </c>
      <c r="CW33">
        <f t="shared" si="40"/>
        <v>0</v>
      </c>
      <c r="CX33">
        <f t="shared" si="41"/>
        <v>0</v>
      </c>
      <c r="CY33">
        <f t="shared" si="42"/>
        <v>310.94139999999999</v>
      </c>
      <c r="CZ33">
        <f t="shared" si="43"/>
        <v>165.56619999999998</v>
      </c>
      <c r="DC33" t="s">
        <v>3</v>
      </c>
      <c r="DD33" t="s">
        <v>42</v>
      </c>
      <c r="DE33" t="s">
        <v>58</v>
      </c>
      <c r="DF33" t="s">
        <v>58</v>
      </c>
      <c r="DG33" t="s">
        <v>58</v>
      </c>
      <c r="DH33" t="s">
        <v>3</v>
      </c>
      <c r="DI33" t="s">
        <v>58</v>
      </c>
      <c r="DJ33" t="s">
        <v>58</v>
      </c>
      <c r="DK33" t="s">
        <v>3</v>
      </c>
      <c r="DL33" t="s">
        <v>3</v>
      </c>
      <c r="DM33" t="s">
        <v>3</v>
      </c>
      <c r="DN33">
        <v>114</v>
      </c>
      <c r="DO33">
        <v>67</v>
      </c>
      <c r="DP33">
        <v>1.0669999999999999</v>
      </c>
      <c r="DQ33">
        <v>1.081</v>
      </c>
      <c r="DU33">
        <v>1003</v>
      </c>
      <c r="DV33" t="s">
        <v>48</v>
      </c>
      <c r="DW33" t="s">
        <v>48</v>
      </c>
      <c r="DX33">
        <v>100</v>
      </c>
      <c r="DZ33" t="s">
        <v>3</v>
      </c>
      <c r="EA33" t="s">
        <v>3</v>
      </c>
      <c r="EB33" t="s">
        <v>3</v>
      </c>
      <c r="EC33" t="s">
        <v>3</v>
      </c>
      <c r="EE33">
        <v>22827159</v>
      </c>
      <c r="EF33">
        <v>40</v>
      </c>
      <c r="EG33" t="s">
        <v>29</v>
      </c>
      <c r="EH33">
        <v>0</v>
      </c>
      <c r="EI33" t="s">
        <v>3</v>
      </c>
      <c r="EJ33">
        <v>2</v>
      </c>
      <c r="EK33">
        <v>318</v>
      </c>
      <c r="EL33" t="s">
        <v>54</v>
      </c>
      <c r="EM33" t="s">
        <v>55</v>
      </c>
      <c r="EO33" t="s">
        <v>59</v>
      </c>
      <c r="EQ33">
        <v>0</v>
      </c>
      <c r="ER33">
        <v>689.47</v>
      </c>
      <c r="ES33">
        <v>27.23</v>
      </c>
      <c r="ET33">
        <v>463.73</v>
      </c>
      <c r="EU33">
        <v>75.08</v>
      </c>
      <c r="EV33">
        <v>198.51</v>
      </c>
      <c r="EW33">
        <v>16.100000000000001</v>
      </c>
      <c r="EX33">
        <v>0</v>
      </c>
      <c r="EY33">
        <v>0</v>
      </c>
      <c r="FQ33">
        <v>0</v>
      </c>
      <c r="FR33">
        <f t="shared" si="44"/>
        <v>0</v>
      </c>
      <c r="FS33">
        <v>0</v>
      </c>
      <c r="FX33">
        <v>114</v>
      </c>
      <c r="FY33">
        <v>67</v>
      </c>
      <c r="GA33" t="s">
        <v>3</v>
      </c>
      <c r="GD33">
        <v>0</v>
      </c>
      <c r="GF33">
        <v>1374399018</v>
      </c>
      <c r="GG33">
        <v>2</v>
      </c>
      <c r="GH33">
        <v>1</v>
      </c>
      <c r="GI33">
        <v>2</v>
      </c>
      <c r="GJ33">
        <v>0</v>
      </c>
      <c r="GK33">
        <f>ROUND(R33*(R12)/100,2)</f>
        <v>239.64</v>
      </c>
      <c r="GL33">
        <f t="shared" si="45"/>
        <v>0</v>
      </c>
      <c r="GM33">
        <f t="shared" si="46"/>
        <v>1329.73</v>
      </c>
      <c r="GN33">
        <f t="shared" si="47"/>
        <v>0</v>
      </c>
      <c r="GO33">
        <f t="shared" si="48"/>
        <v>1329.73</v>
      </c>
      <c r="GP33">
        <f t="shared" si="49"/>
        <v>0</v>
      </c>
      <c r="GR33">
        <v>0</v>
      </c>
      <c r="GS33">
        <v>0</v>
      </c>
      <c r="GT33">
        <v>0</v>
      </c>
      <c r="GU33" t="s">
        <v>3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HC33">
        <f t="shared" si="52"/>
        <v>0</v>
      </c>
      <c r="HE33" t="s">
        <v>3</v>
      </c>
      <c r="HF33" t="s">
        <v>3</v>
      </c>
      <c r="IK33">
        <v>0</v>
      </c>
    </row>
    <row r="34" spans="1:245" x14ac:dyDescent="0.2">
      <c r="A34">
        <v>17</v>
      </c>
      <c r="B34">
        <v>1</v>
      </c>
      <c r="E34" t="s">
        <v>60</v>
      </c>
      <c r="F34" t="s">
        <v>61</v>
      </c>
      <c r="G34" t="s">
        <v>62</v>
      </c>
      <c r="H34" t="s">
        <v>48</v>
      </c>
      <c r="I34">
        <f>ROUND(32/100,9)</f>
        <v>0.32</v>
      </c>
      <c r="J34">
        <v>0</v>
      </c>
      <c r="O34">
        <f t="shared" si="21"/>
        <v>4306.1400000000003</v>
      </c>
      <c r="P34">
        <f t="shared" si="22"/>
        <v>51.37</v>
      </c>
      <c r="Q34">
        <f>(ROUND((ROUND((((ET34*1.2))*AV34*I34),2)*BB34),2)+ROUND((ROUND(((AE34-((EU34*1.2)))*AV34*I34),2)*BS34),2))</f>
        <v>1521.34</v>
      </c>
      <c r="R34">
        <f t="shared" si="23"/>
        <v>1098.53</v>
      </c>
      <c r="S34">
        <f t="shared" si="24"/>
        <v>2733.43</v>
      </c>
      <c r="T34">
        <f t="shared" si="25"/>
        <v>0</v>
      </c>
      <c r="U34">
        <f t="shared" si="26"/>
        <v>8.9320704000000006</v>
      </c>
      <c r="V34">
        <f t="shared" si="27"/>
        <v>0</v>
      </c>
      <c r="W34">
        <f t="shared" si="28"/>
        <v>0</v>
      </c>
      <c r="X34">
        <f t="shared" si="29"/>
        <v>2104.7399999999998</v>
      </c>
      <c r="Y34">
        <f t="shared" si="30"/>
        <v>1120.71</v>
      </c>
      <c r="AA34">
        <v>23440596</v>
      </c>
      <c r="AB34">
        <f t="shared" si="31"/>
        <v>1133.6780000000001</v>
      </c>
      <c r="AC34">
        <f>ROUND((ES34),6)</f>
        <v>28.07</v>
      </c>
      <c r="AD34">
        <f>ROUND(((((ET34*1.2))-((EU34*1.2)))+AE34),6)</f>
        <v>783.06</v>
      </c>
      <c r="AE34">
        <f>ROUND(((EU34*1.2)),6)</f>
        <v>129.636</v>
      </c>
      <c r="AF34">
        <f>ROUND(((EV34*1.2)),6)</f>
        <v>322.548</v>
      </c>
      <c r="AG34">
        <f t="shared" si="32"/>
        <v>0</v>
      </c>
      <c r="AH34">
        <f>((EW34*1.2))</f>
        <v>26.16</v>
      </c>
      <c r="AI34">
        <f>((EX34*1.2))</f>
        <v>0</v>
      </c>
      <c r="AJ34">
        <f t="shared" si="33"/>
        <v>0</v>
      </c>
      <c r="AK34">
        <v>949.41</v>
      </c>
      <c r="AL34">
        <v>28.07</v>
      </c>
      <c r="AM34">
        <v>652.54999999999995</v>
      </c>
      <c r="AN34">
        <v>108.03</v>
      </c>
      <c r="AO34">
        <v>268.79000000000002</v>
      </c>
      <c r="AP34">
        <v>0</v>
      </c>
      <c r="AQ34">
        <v>21.8</v>
      </c>
      <c r="AR34">
        <v>0</v>
      </c>
      <c r="AS34">
        <v>0</v>
      </c>
      <c r="AT34">
        <v>77</v>
      </c>
      <c r="AU34">
        <v>41</v>
      </c>
      <c r="AV34">
        <v>1.0669999999999999</v>
      </c>
      <c r="AW34">
        <v>1.081</v>
      </c>
      <c r="AZ34">
        <v>1</v>
      </c>
      <c r="BA34">
        <v>24.82</v>
      </c>
      <c r="BB34">
        <v>5.69</v>
      </c>
      <c r="BC34">
        <v>5.29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2</v>
      </c>
      <c r="BJ34" t="s">
        <v>63</v>
      </c>
      <c r="BM34">
        <v>318</v>
      </c>
      <c r="BN34">
        <v>0</v>
      </c>
      <c r="BO34" t="s">
        <v>61</v>
      </c>
      <c r="BP34">
        <v>1</v>
      </c>
      <c r="BQ34">
        <v>40</v>
      </c>
      <c r="BR34">
        <v>0</v>
      </c>
      <c r="BS34">
        <v>24.82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77</v>
      </c>
      <c r="CA34">
        <v>41</v>
      </c>
      <c r="CE34">
        <v>30</v>
      </c>
      <c r="CF34">
        <v>0</v>
      </c>
      <c r="CG34">
        <v>0</v>
      </c>
      <c r="CM34">
        <v>0</v>
      </c>
      <c r="CN34" t="s">
        <v>240</v>
      </c>
      <c r="CO34">
        <v>0</v>
      </c>
      <c r="CP34">
        <f t="shared" si="34"/>
        <v>4306.1399999999994</v>
      </c>
      <c r="CQ34">
        <f t="shared" si="35"/>
        <v>160.5</v>
      </c>
      <c r="CR34">
        <f>(ROUND((ROUND((((ET34*1.2))*AV34*1),2)*BB34),2)+ROUND((ROUND(((AE34-((EU34*1.2)))*AV34*1),2)*BS34),2))</f>
        <v>4754.17</v>
      </c>
      <c r="CS34">
        <f t="shared" si="36"/>
        <v>3433.1</v>
      </c>
      <c r="CT34">
        <f t="shared" si="37"/>
        <v>8542.0499999999993</v>
      </c>
      <c r="CU34">
        <f t="shared" si="38"/>
        <v>0</v>
      </c>
      <c r="CV34">
        <f t="shared" si="39"/>
        <v>27.91272</v>
      </c>
      <c r="CW34">
        <f t="shared" si="40"/>
        <v>0</v>
      </c>
      <c r="CX34">
        <f t="shared" si="41"/>
        <v>0</v>
      </c>
      <c r="CY34">
        <f t="shared" si="42"/>
        <v>2104.7410999999997</v>
      </c>
      <c r="CZ34">
        <f t="shared" si="43"/>
        <v>1120.7062999999998</v>
      </c>
      <c r="DC34" t="s">
        <v>3</v>
      </c>
      <c r="DD34" t="s">
        <v>3</v>
      </c>
      <c r="DE34" t="s">
        <v>28</v>
      </c>
      <c r="DF34" t="s">
        <v>28</v>
      </c>
      <c r="DG34" t="s">
        <v>28</v>
      </c>
      <c r="DH34" t="s">
        <v>3</v>
      </c>
      <c r="DI34" t="s">
        <v>28</v>
      </c>
      <c r="DJ34" t="s">
        <v>28</v>
      </c>
      <c r="DK34" t="s">
        <v>3</v>
      </c>
      <c r="DL34" t="s">
        <v>3</v>
      </c>
      <c r="DM34" t="s">
        <v>3</v>
      </c>
      <c r="DN34">
        <v>114</v>
      </c>
      <c r="DO34">
        <v>67</v>
      </c>
      <c r="DP34">
        <v>1.0669999999999999</v>
      </c>
      <c r="DQ34">
        <v>1.081</v>
      </c>
      <c r="DU34">
        <v>1003</v>
      </c>
      <c r="DV34" t="s">
        <v>48</v>
      </c>
      <c r="DW34" t="s">
        <v>48</v>
      </c>
      <c r="DX34">
        <v>100</v>
      </c>
      <c r="DZ34" t="s">
        <v>3</v>
      </c>
      <c r="EA34" t="s">
        <v>3</v>
      </c>
      <c r="EB34" t="s">
        <v>3</v>
      </c>
      <c r="EC34" t="s">
        <v>3</v>
      </c>
      <c r="EE34">
        <v>22827159</v>
      </c>
      <c r="EF34">
        <v>40</v>
      </c>
      <c r="EG34" t="s">
        <v>29</v>
      </c>
      <c r="EH34">
        <v>0</v>
      </c>
      <c r="EI34" t="s">
        <v>3</v>
      </c>
      <c r="EJ34">
        <v>2</v>
      </c>
      <c r="EK34">
        <v>318</v>
      </c>
      <c r="EL34" t="s">
        <v>54</v>
      </c>
      <c r="EM34" t="s">
        <v>55</v>
      </c>
      <c r="EO34" t="s">
        <v>32</v>
      </c>
      <c r="EQ34">
        <v>0</v>
      </c>
      <c r="ER34">
        <v>949.41</v>
      </c>
      <c r="ES34">
        <v>28.07</v>
      </c>
      <c r="ET34">
        <v>652.54999999999995</v>
      </c>
      <c r="EU34">
        <v>108.03</v>
      </c>
      <c r="EV34">
        <v>268.79000000000002</v>
      </c>
      <c r="EW34">
        <v>21.8</v>
      </c>
      <c r="EX34">
        <v>0</v>
      </c>
      <c r="EY34">
        <v>0</v>
      </c>
      <c r="FQ34">
        <v>0</v>
      </c>
      <c r="FR34">
        <f t="shared" si="44"/>
        <v>0</v>
      </c>
      <c r="FS34">
        <v>0</v>
      </c>
      <c r="FX34">
        <v>114</v>
      </c>
      <c r="FY34">
        <v>67</v>
      </c>
      <c r="GA34" t="s">
        <v>3</v>
      </c>
      <c r="GD34">
        <v>0</v>
      </c>
      <c r="GF34">
        <v>1363233414</v>
      </c>
      <c r="GG34">
        <v>2</v>
      </c>
      <c r="GH34">
        <v>1</v>
      </c>
      <c r="GI34">
        <v>2</v>
      </c>
      <c r="GJ34">
        <v>0</v>
      </c>
      <c r="GK34">
        <f>ROUND(R34*(R12)/100,2)</f>
        <v>1724.69</v>
      </c>
      <c r="GL34">
        <f t="shared" si="45"/>
        <v>0</v>
      </c>
      <c r="GM34">
        <f t="shared" si="46"/>
        <v>9256.2800000000007</v>
      </c>
      <c r="GN34">
        <f t="shared" si="47"/>
        <v>0</v>
      </c>
      <c r="GO34">
        <f t="shared" si="48"/>
        <v>9256.2800000000007</v>
      </c>
      <c r="GP34">
        <f t="shared" si="49"/>
        <v>0</v>
      </c>
      <c r="GR34">
        <v>0</v>
      </c>
      <c r="GS34">
        <v>3</v>
      </c>
      <c r="GT34">
        <v>0</v>
      </c>
      <c r="GU34" t="s">
        <v>3</v>
      </c>
      <c r="GV34">
        <f t="shared" si="50"/>
        <v>0</v>
      </c>
      <c r="GW34">
        <v>1</v>
      </c>
      <c r="GX34">
        <f t="shared" si="51"/>
        <v>0</v>
      </c>
      <c r="HA34">
        <v>0</v>
      </c>
      <c r="HB34">
        <v>0</v>
      </c>
      <c r="HC34">
        <f t="shared" si="52"/>
        <v>0</v>
      </c>
      <c r="HE34" t="s">
        <v>3</v>
      </c>
      <c r="HF34" t="s">
        <v>3</v>
      </c>
      <c r="IK34">
        <v>0</v>
      </c>
    </row>
    <row r="35" spans="1:245" x14ac:dyDescent="0.2">
      <c r="A35">
        <v>17</v>
      </c>
      <c r="B35">
        <v>1</v>
      </c>
      <c r="E35" t="s">
        <v>64</v>
      </c>
      <c r="F35" t="s">
        <v>61</v>
      </c>
      <c r="G35" t="s">
        <v>65</v>
      </c>
      <c r="H35" t="s">
        <v>48</v>
      </c>
      <c r="I35">
        <f>ROUND(32/100,9)</f>
        <v>0.32</v>
      </c>
      <c r="J35">
        <v>0</v>
      </c>
      <c r="O35">
        <f t="shared" si="21"/>
        <v>1701.87</v>
      </c>
      <c r="P35">
        <f t="shared" si="22"/>
        <v>0</v>
      </c>
      <c r="Q35">
        <f>(ROUND((ROUND(((((ET35*0.4)*1.2))*AV35*I35),2)*BB35),2)+ROUND((ROUND(((AE35-(((EU35*0.4)*1.2)))*AV35*I35),2)*BS35),2))</f>
        <v>608.54999999999995</v>
      </c>
      <c r="R35">
        <f t="shared" si="23"/>
        <v>439.56</v>
      </c>
      <c r="S35">
        <f t="shared" si="24"/>
        <v>1093.32</v>
      </c>
      <c r="T35">
        <f t="shared" si="25"/>
        <v>0</v>
      </c>
      <c r="U35">
        <f t="shared" si="26"/>
        <v>3.5728281599999998</v>
      </c>
      <c r="V35">
        <f t="shared" si="27"/>
        <v>0</v>
      </c>
      <c r="W35">
        <f t="shared" si="28"/>
        <v>0</v>
      </c>
      <c r="X35">
        <f t="shared" si="29"/>
        <v>841.86</v>
      </c>
      <c r="Y35">
        <f t="shared" si="30"/>
        <v>448.26</v>
      </c>
      <c r="AA35">
        <v>23440596</v>
      </c>
      <c r="AB35">
        <f t="shared" si="31"/>
        <v>442.2432</v>
      </c>
      <c r="AC35">
        <f>ROUND(((ES35*0)),6)</f>
        <v>0</v>
      </c>
      <c r="AD35">
        <f>ROUND((((((ET35*0.4)*1.2))-(((EU35*0.4)*1.2)))+AE35),6)</f>
        <v>313.22399999999999</v>
      </c>
      <c r="AE35">
        <f>ROUND((((EU35*0.4)*1.2)),6)</f>
        <v>51.854399999999998</v>
      </c>
      <c r="AF35">
        <f>ROUND((((EV35*0.4)*1.2)),6)</f>
        <v>129.01920000000001</v>
      </c>
      <c r="AG35">
        <f t="shared" si="32"/>
        <v>0</v>
      </c>
      <c r="AH35">
        <f>(((EW35*0.4)*1.2))</f>
        <v>10.464</v>
      </c>
      <c r="AI35">
        <f>(((EX35*0.4)*1.2))</f>
        <v>0</v>
      </c>
      <c r="AJ35">
        <f t="shared" si="33"/>
        <v>0</v>
      </c>
      <c r="AK35">
        <v>949.41</v>
      </c>
      <c r="AL35">
        <v>28.07</v>
      </c>
      <c r="AM35">
        <v>652.54999999999995</v>
      </c>
      <c r="AN35">
        <v>108.03</v>
      </c>
      <c r="AO35">
        <v>268.79000000000002</v>
      </c>
      <c r="AP35">
        <v>0</v>
      </c>
      <c r="AQ35">
        <v>21.8</v>
      </c>
      <c r="AR35">
        <v>0</v>
      </c>
      <c r="AS35">
        <v>0</v>
      </c>
      <c r="AT35">
        <v>77</v>
      </c>
      <c r="AU35">
        <v>41</v>
      </c>
      <c r="AV35">
        <v>1.0669999999999999</v>
      </c>
      <c r="AW35">
        <v>1.081</v>
      </c>
      <c r="AZ35">
        <v>1</v>
      </c>
      <c r="BA35">
        <v>24.82</v>
      </c>
      <c r="BB35">
        <v>5.69</v>
      </c>
      <c r="BC35">
        <v>5.29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63</v>
      </c>
      <c r="BM35">
        <v>318</v>
      </c>
      <c r="BN35">
        <v>0</v>
      </c>
      <c r="BO35" t="s">
        <v>61</v>
      </c>
      <c r="BP35">
        <v>1</v>
      </c>
      <c r="BQ35">
        <v>40</v>
      </c>
      <c r="BR35">
        <v>0</v>
      </c>
      <c r="BS35">
        <v>24.82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77</v>
      </c>
      <c r="CA35">
        <v>41</v>
      </c>
      <c r="CE35">
        <v>30</v>
      </c>
      <c r="CF35">
        <v>0</v>
      </c>
      <c r="CG35">
        <v>0</v>
      </c>
      <c r="CM35">
        <v>0</v>
      </c>
      <c r="CN35" t="s">
        <v>242</v>
      </c>
      <c r="CO35">
        <v>0</v>
      </c>
      <c r="CP35">
        <f t="shared" si="34"/>
        <v>1701.87</v>
      </c>
      <c r="CQ35">
        <f t="shared" si="35"/>
        <v>0</v>
      </c>
      <c r="CR35">
        <f>(ROUND((ROUND(((((ET35*0.4)*1.2))*AV35*1),2)*BB35),2)+ROUND((ROUND(((AE35-(((EU35*0.4)*1.2)))*AV35*1),2)*BS35),2))</f>
        <v>1901.65</v>
      </c>
      <c r="CS35">
        <f t="shared" si="36"/>
        <v>1373.29</v>
      </c>
      <c r="CT35">
        <f t="shared" si="37"/>
        <v>3416.72</v>
      </c>
      <c r="CU35">
        <f t="shared" si="38"/>
        <v>0</v>
      </c>
      <c r="CV35">
        <f t="shared" si="39"/>
        <v>11.165087999999999</v>
      </c>
      <c r="CW35">
        <f t="shared" si="40"/>
        <v>0</v>
      </c>
      <c r="CX35">
        <f t="shared" si="41"/>
        <v>0</v>
      </c>
      <c r="CY35">
        <f t="shared" si="42"/>
        <v>841.85640000000001</v>
      </c>
      <c r="CZ35">
        <f t="shared" si="43"/>
        <v>448.26119999999997</v>
      </c>
      <c r="DC35" t="s">
        <v>3</v>
      </c>
      <c r="DD35" t="s">
        <v>42</v>
      </c>
      <c r="DE35" t="s">
        <v>58</v>
      </c>
      <c r="DF35" t="s">
        <v>58</v>
      </c>
      <c r="DG35" t="s">
        <v>58</v>
      </c>
      <c r="DH35" t="s">
        <v>3</v>
      </c>
      <c r="DI35" t="s">
        <v>58</v>
      </c>
      <c r="DJ35" t="s">
        <v>58</v>
      </c>
      <c r="DK35" t="s">
        <v>3</v>
      </c>
      <c r="DL35" t="s">
        <v>3</v>
      </c>
      <c r="DM35" t="s">
        <v>3</v>
      </c>
      <c r="DN35">
        <v>114</v>
      </c>
      <c r="DO35">
        <v>67</v>
      </c>
      <c r="DP35">
        <v>1.0669999999999999</v>
      </c>
      <c r="DQ35">
        <v>1.081</v>
      </c>
      <c r="DU35">
        <v>1003</v>
      </c>
      <c r="DV35" t="s">
        <v>48</v>
      </c>
      <c r="DW35" t="s">
        <v>48</v>
      </c>
      <c r="DX35">
        <v>100</v>
      </c>
      <c r="DZ35" t="s">
        <v>3</v>
      </c>
      <c r="EA35" t="s">
        <v>3</v>
      </c>
      <c r="EB35" t="s">
        <v>3</v>
      </c>
      <c r="EC35" t="s">
        <v>3</v>
      </c>
      <c r="EE35">
        <v>22827159</v>
      </c>
      <c r="EF35">
        <v>40</v>
      </c>
      <c r="EG35" t="s">
        <v>29</v>
      </c>
      <c r="EH35">
        <v>0</v>
      </c>
      <c r="EI35" t="s">
        <v>3</v>
      </c>
      <c r="EJ35">
        <v>2</v>
      </c>
      <c r="EK35">
        <v>318</v>
      </c>
      <c r="EL35" t="s">
        <v>54</v>
      </c>
      <c r="EM35" t="s">
        <v>55</v>
      </c>
      <c r="EO35" t="s">
        <v>59</v>
      </c>
      <c r="EQ35">
        <v>0</v>
      </c>
      <c r="ER35">
        <v>949.41</v>
      </c>
      <c r="ES35">
        <v>28.07</v>
      </c>
      <c r="ET35">
        <v>652.54999999999995</v>
      </c>
      <c r="EU35">
        <v>108.03</v>
      </c>
      <c r="EV35">
        <v>268.79000000000002</v>
      </c>
      <c r="EW35">
        <v>21.8</v>
      </c>
      <c r="EX35">
        <v>0</v>
      </c>
      <c r="EY35">
        <v>0</v>
      </c>
      <c r="FQ35">
        <v>0</v>
      </c>
      <c r="FR35">
        <f t="shared" si="44"/>
        <v>0</v>
      </c>
      <c r="FS35">
        <v>0</v>
      </c>
      <c r="FX35">
        <v>114</v>
      </c>
      <c r="FY35">
        <v>67</v>
      </c>
      <c r="GA35" t="s">
        <v>3</v>
      </c>
      <c r="GD35">
        <v>0</v>
      </c>
      <c r="GF35">
        <v>589472801</v>
      </c>
      <c r="GG35">
        <v>2</v>
      </c>
      <c r="GH35">
        <v>1</v>
      </c>
      <c r="GI35">
        <v>2</v>
      </c>
      <c r="GJ35">
        <v>0</v>
      </c>
      <c r="GK35">
        <f>ROUND(R35*(R12)/100,2)</f>
        <v>690.11</v>
      </c>
      <c r="GL35">
        <f t="shared" si="45"/>
        <v>0</v>
      </c>
      <c r="GM35">
        <f t="shared" si="46"/>
        <v>3682.1</v>
      </c>
      <c r="GN35">
        <f t="shared" si="47"/>
        <v>0</v>
      </c>
      <c r="GO35">
        <f t="shared" si="48"/>
        <v>3682.1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HC35">
        <f t="shared" si="52"/>
        <v>0</v>
      </c>
      <c r="HE35" t="s">
        <v>3</v>
      </c>
      <c r="HF35" t="s">
        <v>3</v>
      </c>
      <c r="IK35">
        <v>0</v>
      </c>
    </row>
    <row r="36" spans="1:245" x14ac:dyDescent="0.2">
      <c r="A36">
        <v>17</v>
      </c>
      <c r="B36">
        <v>1</v>
      </c>
      <c r="E36" t="s">
        <v>66</v>
      </c>
      <c r="F36" t="s">
        <v>67</v>
      </c>
      <c r="G36" t="s">
        <v>68</v>
      </c>
      <c r="H36" t="s">
        <v>48</v>
      </c>
      <c r="I36">
        <f>ROUND(104/100,9)</f>
        <v>1.04</v>
      </c>
      <c r="J36">
        <v>0</v>
      </c>
      <c r="O36">
        <f t="shared" si="21"/>
        <v>14425.78</v>
      </c>
      <c r="P36">
        <f t="shared" si="22"/>
        <v>999.12</v>
      </c>
      <c r="Q36">
        <f>(ROUND((ROUND((((ET36*1.2))*AV36*I36),2)*BB36),2)+ROUND((ROUND(((AE36-((EU36*1.2)))*AV36*I36),2)*BS36),2))</f>
        <v>8251.19</v>
      </c>
      <c r="R36">
        <f t="shared" si="23"/>
        <v>5237.5200000000004</v>
      </c>
      <c r="S36">
        <f t="shared" si="24"/>
        <v>5175.47</v>
      </c>
      <c r="T36">
        <f t="shared" si="25"/>
        <v>0</v>
      </c>
      <c r="U36">
        <f t="shared" si="26"/>
        <v>16.911523199999998</v>
      </c>
      <c r="V36">
        <f t="shared" si="27"/>
        <v>0</v>
      </c>
      <c r="W36">
        <f t="shared" si="28"/>
        <v>0</v>
      </c>
      <c r="X36">
        <f t="shared" si="29"/>
        <v>3985.11</v>
      </c>
      <c r="Y36">
        <f t="shared" si="30"/>
        <v>2121.94</v>
      </c>
      <c r="AA36">
        <v>23440596</v>
      </c>
      <c r="AB36">
        <f t="shared" si="31"/>
        <v>1349.9760000000001</v>
      </c>
      <c r="AC36">
        <f>ROUND((ES36),6)</f>
        <v>168</v>
      </c>
      <c r="AD36">
        <f>ROUND(((((ET36*1.2))-((EU36*1.2)))+AE36),6)</f>
        <v>994.06799999999998</v>
      </c>
      <c r="AE36">
        <f t="shared" ref="AE36:AF39" si="53">ROUND(((EU36*1.2)),6)</f>
        <v>190.16399999999999</v>
      </c>
      <c r="AF36">
        <f t="shared" si="53"/>
        <v>187.90799999999999</v>
      </c>
      <c r="AG36">
        <f t="shared" si="32"/>
        <v>0</v>
      </c>
      <c r="AH36">
        <f t="shared" ref="AH36:AI39" si="54">((EW36*1.2))</f>
        <v>15.239999999999998</v>
      </c>
      <c r="AI36">
        <f t="shared" si="54"/>
        <v>0</v>
      </c>
      <c r="AJ36">
        <f t="shared" si="33"/>
        <v>0</v>
      </c>
      <c r="AK36">
        <v>1152.98</v>
      </c>
      <c r="AL36">
        <v>168</v>
      </c>
      <c r="AM36">
        <v>828.39</v>
      </c>
      <c r="AN36">
        <v>158.47</v>
      </c>
      <c r="AO36">
        <v>156.59</v>
      </c>
      <c r="AP36">
        <v>0</v>
      </c>
      <c r="AQ36">
        <v>12.7</v>
      </c>
      <c r="AR36">
        <v>0</v>
      </c>
      <c r="AS36">
        <v>0</v>
      </c>
      <c r="AT36">
        <v>77</v>
      </c>
      <c r="AU36">
        <v>41</v>
      </c>
      <c r="AV36">
        <v>1.0669999999999999</v>
      </c>
      <c r="AW36">
        <v>1.081</v>
      </c>
      <c r="AZ36">
        <v>1</v>
      </c>
      <c r="BA36">
        <v>24.82</v>
      </c>
      <c r="BB36">
        <v>7.48</v>
      </c>
      <c r="BC36">
        <v>5.29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2</v>
      </c>
      <c r="BJ36" t="s">
        <v>69</v>
      </c>
      <c r="BM36">
        <v>318</v>
      </c>
      <c r="BN36">
        <v>0</v>
      </c>
      <c r="BO36" t="s">
        <v>67</v>
      </c>
      <c r="BP36">
        <v>1</v>
      </c>
      <c r="BQ36">
        <v>40</v>
      </c>
      <c r="BR36">
        <v>0</v>
      </c>
      <c r="BS36">
        <v>24.82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77</v>
      </c>
      <c r="CA36">
        <v>41</v>
      </c>
      <c r="CE36">
        <v>30</v>
      </c>
      <c r="CF36">
        <v>0</v>
      </c>
      <c r="CG36">
        <v>0</v>
      </c>
      <c r="CM36">
        <v>0</v>
      </c>
      <c r="CN36" t="s">
        <v>240</v>
      </c>
      <c r="CO36">
        <v>0</v>
      </c>
      <c r="CP36">
        <f t="shared" si="34"/>
        <v>14425.780000000002</v>
      </c>
      <c r="CQ36">
        <f t="shared" si="35"/>
        <v>960.72</v>
      </c>
      <c r="CR36">
        <f>(ROUND((ROUND((((ET36*1.2))*AV36*1),2)*BB36),2)+ROUND((ROUND(((AE36-((EU36*1.2)))*AV36*1),2)*BS36),2))</f>
        <v>7933.81</v>
      </c>
      <c r="CS36">
        <f t="shared" si="36"/>
        <v>5035.9799999999996</v>
      </c>
      <c r="CT36">
        <f t="shared" si="37"/>
        <v>4976.41</v>
      </c>
      <c r="CU36">
        <f t="shared" si="38"/>
        <v>0</v>
      </c>
      <c r="CV36">
        <f t="shared" si="39"/>
        <v>16.261079999999996</v>
      </c>
      <c r="CW36">
        <f t="shared" si="40"/>
        <v>0</v>
      </c>
      <c r="CX36">
        <f t="shared" si="41"/>
        <v>0</v>
      </c>
      <c r="CY36">
        <f t="shared" si="42"/>
        <v>3985.1119000000003</v>
      </c>
      <c r="CZ36">
        <f t="shared" si="43"/>
        <v>2121.9427000000001</v>
      </c>
      <c r="DC36" t="s">
        <v>3</v>
      </c>
      <c r="DD36" t="s">
        <v>3</v>
      </c>
      <c r="DE36" t="s">
        <v>28</v>
      </c>
      <c r="DF36" t="s">
        <v>28</v>
      </c>
      <c r="DG36" t="s">
        <v>28</v>
      </c>
      <c r="DH36" t="s">
        <v>3</v>
      </c>
      <c r="DI36" t="s">
        <v>28</v>
      </c>
      <c r="DJ36" t="s">
        <v>28</v>
      </c>
      <c r="DK36" t="s">
        <v>3</v>
      </c>
      <c r="DL36" t="s">
        <v>3</v>
      </c>
      <c r="DM36" t="s">
        <v>3</v>
      </c>
      <c r="DN36">
        <v>114</v>
      </c>
      <c r="DO36">
        <v>67</v>
      </c>
      <c r="DP36">
        <v>1.0669999999999999</v>
      </c>
      <c r="DQ36">
        <v>1.081</v>
      </c>
      <c r="DU36">
        <v>1003</v>
      </c>
      <c r="DV36" t="s">
        <v>48</v>
      </c>
      <c r="DW36" t="s">
        <v>48</v>
      </c>
      <c r="DX36">
        <v>100</v>
      </c>
      <c r="DZ36" t="s">
        <v>3</v>
      </c>
      <c r="EA36" t="s">
        <v>3</v>
      </c>
      <c r="EB36" t="s">
        <v>3</v>
      </c>
      <c r="EC36" t="s">
        <v>3</v>
      </c>
      <c r="EE36">
        <v>22827159</v>
      </c>
      <c r="EF36">
        <v>40</v>
      </c>
      <c r="EG36" t="s">
        <v>29</v>
      </c>
      <c r="EH36">
        <v>0</v>
      </c>
      <c r="EI36" t="s">
        <v>3</v>
      </c>
      <c r="EJ36">
        <v>2</v>
      </c>
      <c r="EK36">
        <v>318</v>
      </c>
      <c r="EL36" t="s">
        <v>54</v>
      </c>
      <c r="EM36" t="s">
        <v>55</v>
      </c>
      <c r="EO36" t="s">
        <v>32</v>
      </c>
      <c r="EQ36">
        <v>0</v>
      </c>
      <c r="ER36">
        <v>1152.98</v>
      </c>
      <c r="ES36">
        <v>168</v>
      </c>
      <c r="ET36">
        <v>828.39</v>
      </c>
      <c r="EU36">
        <v>158.47</v>
      </c>
      <c r="EV36">
        <v>156.59</v>
      </c>
      <c r="EW36">
        <v>12.7</v>
      </c>
      <c r="EX36">
        <v>0</v>
      </c>
      <c r="EY36">
        <v>0</v>
      </c>
      <c r="FQ36">
        <v>0</v>
      </c>
      <c r="FR36">
        <f t="shared" si="44"/>
        <v>0</v>
      </c>
      <c r="FS36">
        <v>0</v>
      </c>
      <c r="FX36">
        <v>114</v>
      </c>
      <c r="FY36">
        <v>67</v>
      </c>
      <c r="GA36" t="s">
        <v>3</v>
      </c>
      <c r="GD36">
        <v>0</v>
      </c>
      <c r="GF36">
        <v>1084131224</v>
      </c>
      <c r="GG36">
        <v>2</v>
      </c>
      <c r="GH36">
        <v>1</v>
      </c>
      <c r="GI36">
        <v>2</v>
      </c>
      <c r="GJ36">
        <v>0</v>
      </c>
      <c r="GK36">
        <f>ROUND(R36*(R12)/100,2)</f>
        <v>8222.91</v>
      </c>
      <c r="GL36">
        <f t="shared" si="45"/>
        <v>0</v>
      </c>
      <c r="GM36">
        <f t="shared" si="46"/>
        <v>28755.74</v>
      </c>
      <c r="GN36">
        <f t="shared" si="47"/>
        <v>0</v>
      </c>
      <c r="GO36">
        <f t="shared" si="48"/>
        <v>28755.74</v>
      </c>
      <c r="GP36">
        <f t="shared" si="49"/>
        <v>0</v>
      </c>
      <c r="GR36">
        <v>0</v>
      </c>
      <c r="GS36">
        <v>3</v>
      </c>
      <c r="GT36">
        <v>0</v>
      </c>
      <c r="GU36" t="s">
        <v>3</v>
      </c>
      <c r="GV36">
        <f t="shared" si="50"/>
        <v>0</v>
      </c>
      <c r="GW36">
        <v>1</v>
      </c>
      <c r="GX36">
        <f t="shared" si="51"/>
        <v>0</v>
      </c>
      <c r="HA36">
        <v>0</v>
      </c>
      <c r="HB36">
        <v>0</v>
      </c>
      <c r="HC36">
        <f t="shared" si="52"/>
        <v>0</v>
      </c>
      <c r="HE36" t="s">
        <v>3</v>
      </c>
      <c r="HF36" t="s">
        <v>3</v>
      </c>
      <c r="IK36">
        <v>0</v>
      </c>
    </row>
    <row r="37" spans="1:245" x14ac:dyDescent="0.2">
      <c r="A37">
        <v>17</v>
      </c>
      <c r="B37">
        <v>1</v>
      </c>
      <c r="E37" t="s">
        <v>70</v>
      </c>
      <c r="F37" t="s">
        <v>71</v>
      </c>
      <c r="G37" t="s">
        <v>72</v>
      </c>
      <c r="H37" t="s">
        <v>73</v>
      </c>
      <c r="I37">
        <f>ROUND((15)/100,9)</f>
        <v>0.15</v>
      </c>
      <c r="J37">
        <v>0</v>
      </c>
      <c r="O37">
        <f t="shared" si="21"/>
        <v>700.49</v>
      </c>
      <c r="P37">
        <f t="shared" si="22"/>
        <v>1.06</v>
      </c>
      <c r="Q37">
        <f>(ROUND((ROUND((((ET37*1.2))*AV37*I37),2)*BB37),2)+ROUND((ROUND(((AE37-((EU37*1.2)))*AV37*I37),2)*BS37),2))</f>
        <v>0</v>
      </c>
      <c r="R37">
        <f t="shared" si="23"/>
        <v>0</v>
      </c>
      <c r="S37">
        <f t="shared" si="24"/>
        <v>699.43</v>
      </c>
      <c r="T37">
        <f t="shared" si="25"/>
        <v>0</v>
      </c>
      <c r="U37">
        <f t="shared" si="26"/>
        <v>2.2855139999999996</v>
      </c>
      <c r="V37">
        <f t="shared" si="27"/>
        <v>0</v>
      </c>
      <c r="W37">
        <f t="shared" si="28"/>
        <v>0</v>
      </c>
      <c r="X37">
        <f t="shared" si="29"/>
        <v>538.55999999999995</v>
      </c>
      <c r="Y37">
        <f t="shared" si="30"/>
        <v>286.77</v>
      </c>
      <c r="AA37">
        <v>23440596</v>
      </c>
      <c r="AB37">
        <f t="shared" si="31"/>
        <v>177.33600000000001</v>
      </c>
      <c r="AC37">
        <f>ROUND((ES37),6)</f>
        <v>1.26</v>
      </c>
      <c r="AD37">
        <f>ROUND(((((ET37*1.2))-((EU37*1.2)))+AE37),6)</f>
        <v>0</v>
      </c>
      <c r="AE37">
        <f t="shared" si="53"/>
        <v>0</v>
      </c>
      <c r="AF37">
        <f t="shared" si="53"/>
        <v>176.07599999999999</v>
      </c>
      <c r="AG37">
        <f t="shared" si="32"/>
        <v>0</v>
      </c>
      <c r="AH37">
        <f t="shared" si="54"/>
        <v>14.28</v>
      </c>
      <c r="AI37">
        <f t="shared" si="54"/>
        <v>0</v>
      </c>
      <c r="AJ37">
        <f t="shared" si="33"/>
        <v>0</v>
      </c>
      <c r="AK37">
        <v>147.99</v>
      </c>
      <c r="AL37">
        <v>1.26</v>
      </c>
      <c r="AM37">
        <v>0</v>
      </c>
      <c r="AN37">
        <v>0</v>
      </c>
      <c r="AO37">
        <v>146.72999999999999</v>
      </c>
      <c r="AP37">
        <v>0</v>
      </c>
      <c r="AQ37">
        <v>11.9</v>
      </c>
      <c r="AR37">
        <v>0</v>
      </c>
      <c r="AS37">
        <v>0</v>
      </c>
      <c r="AT37">
        <v>77</v>
      </c>
      <c r="AU37">
        <v>41</v>
      </c>
      <c r="AV37">
        <v>1.0669999999999999</v>
      </c>
      <c r="AW37">
        <v>1.081</v>
      </c>
      <c r="AZ37">
        <v>1</v>
      </c>
      <c r="BA37">
        <v>24.82</v>
      </c>
      <c r="BB37">
        <v>1</v>
      </c>
      <c r="BC37">
        <v>5.29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74</v>
      </c>
      <c r="BM37">
        <v>318</v>
      </c>
      <c r="BN37">
        <v>0</v>
      </c>
      <c r="BO37" t="s">
        <v>71</v>
      </c>
      <c r="BP37">
        <v>1</v>
      </c>
      <c r="BQ37">
        <v>40</v>
      </c>
      <c r="BR37">
        <v>0</v>
      </c>
      <c r="BS37">
        <v>24.82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77</v>
      </c>
      <c r="CA37">
        <v>41</v>
      </c>
      <c r="CE37">
        <v>30</v>
      </c>
      <c r="CF37">
        <v>0</v>
      </c>
      <c r="CG37">
        <v>0</v>
      </c>
      <c r="CM37">
        <v>0</v>
      </c>
      <c r="CN37" t="s">
        <v>240</v>
      </c>
      <c r="CO37">
        <v>0</v>
      </c>
      <c r="CP37">
        <f t="shared" si="34"/>
        <v>700.4899999999999</v>
      </c>
      <c r="CQ37">
        <f t="shared" si="35"/>
        <v>7.19</v>
      </c>
      <c r="CR37">
        <f>(ROUND((ROUND((((ET37*1.2))*AV37*1),2)*BB37),2)+ROUND((ROUND(((AE37-((EU37*1.2)))*AV37*1),2)*BS37),2))</f>
        <v>0</v>
      </c>
      <c r="CS37">
        <f t="shared" si="36"/>
        <v>0</v>
      </c>
      <c r="CT37">
        <f t="shared" si="37"/>
        <v>4662.93</v>
      </c>
      <c r="CU37">
        <f t="shared" si="38"/>
        <v>0</v>
      </c>
      <c r="CV37">
        <f t="shared" si="39"/>
        <v>15.236759999999999</v>
      </c>
      <c r="CW37">
        <f t="shared" si="40"/>
        <v>0</v>
      </c>
      <c r="CX37">
        <f t="shared" si="41"/>
        <v>0</v>
      </c>
      <c r="CY37">
        <f t="shared" si="42"/>
        <v>538.56110000000001</v>
      </c>
      <c r="CZ37">
        <f t="shared" si="43"/>
        <v>286.76629999999994</v>
      </c>
      <c r="DC37" t="s">
        <v>3</v>
      </c>
      <c r="DD37" t="s">
        <v>3</v>
      </c>
      <c r="DE37" t="s">
        <v>28</v>
      </c>
      <c r="DF37" t="s">
        <v>28</v>
      </c>
      <c r="DG37" t="s">
        <v>28</v>
      </c>
      <c r="DH37" t="s">
        <v>3</v>
      </c>
      <c r="DI37" t="s">
        <v>28</v>
      </c>
      <c r="DJ37" t="s">
        <v>28</v>
      </c>
      <c r="DK37" t="s">
        <v>3</v>
      </c>
      <c r="DL37" t="s">
        <v>3</v>
      </c>
      <c r="DM37" t="s">
        <v>3</v>
      </c>
      <c r="DN37">
        <v>114</v>
      </c>
      <c r="DO37">
        <v>67</v>
      </c>
      <c r="DP37">
        <v>1.0669999999999999</v>
      </c>
      <c r="DQ37">
        <v>1.081</v>
      </c>
      <c r="DU37">
        <v>1010</v>
      </c>
      <c r="DV37" t="s">
        <v>73</v>
      </c>
      <c r="DW37" t="s">
        <v>73</v>
      </c>
      <c r="DX37">
        <v>100</v>
      </c>
      <c r="DZ37" t="s">
        <v>3</v>
      </c>
      <c r="EA37" t="s">
        <v>3</v>
      </c>
      <c r="EB37" t="s">
        <v>3</v>
      </c>
      <c r="EC37" t="s">
        <v>3</v>
      </c>
      <c r="EE37">
        <v>22827159</v>
      </c>
      <c r="EF37">
        <v>40</v>
      </c>
      <c r="EG37" t="s">
        <v>29</v>
      </c>
      <c r="EH37">
        <v>0</v>
      </c>
      <c r="EI37" t="s">
        <v>3</v>
      </c>
      <c r="EJ37">
        <v>2</v>
      </c>
      <c r="EK37">
        <v>318</v>
      </c>
      <c r="EL37" t="s">
        <v>54</v>
      </c>
      <c r="EM37" t="s">
        <v>55</v>
      </c>
      <c r="EO37" t="s">
        <v>32</v>
      </c>
      <c r="EQ37">
        <v>0</v>
      </c>
      <c r="ER37">
        <v>147.99</v>
      </c>
      <c r="ES37">
        <v>1.26</v>
      </c>
      <c r="ET37">
        <v>0</v>
      </c>
      <c r="EU37">
        <v>0</v>
      </c>
      <c r="EV37">
        <v>146.72999999999999</v>
      </c>
      <c r="EW37">
        <v>11.9</v>
      </c>
      <c r="EX37">
        <v>0</v>
      </c>
      <c r="EY37">
        <v>0</v>
      </c>
      <c r="FQ37">
        <v>0</v>
      </c>
      <c r="FR37">
        <f t="shared" si="44"/>
        <v>0</v>
      </c>
      <c r="FS37">
        <v>0</v>
      </c>
      <c r="FX37">
        <v>114</v>
      </c>
      <c r="FY37">
        <v>67</v>
      </c>
      <c r="GA37" t="s">
        <v>3</v>
      </c>
      <c r="GD37">
        <v>0</v>
      </c>
      <c r="GF37">
        <v>-9613542</v>
      </c>
      <c r="GG37">
        <v>2</v>
      </c>
      <c r="GH37">
        <v>1</v>
      </c>
      <c r="GI37">
        <v>2</v>
      </c>
      <c r="GJ37">
        <v>0</v>
      </c>
      <c r="GK37">
        <f>ROUND(R37*(R12)/100,2)</f>
        <v>0</v>
      </c>
      <c r="GL37">
        <f t="shared" si="45"/>
        <v>0</v>
      </c>
      <c r="GM37">
        <f t="shared" si="46"/>
        <v>1525.82</v>
      </c>
      <c r="GN37">
        <f t="shared" si="47"/>
        <v>0</v>
      </c>
      <c r="GO37">
        <f t="shared" si="48"/>
        <v>1525.82</v>
      </c>
      <c r="GP37">
        <f t="shared" si="49"/>
        <v>0</v>
      </c>
      <c r="GR37">
        <v>0</v>
      </c>
      <c r="GS37">
        <v>0</v>
      </c>
      <c r="GT37">
        <v>0</v>
      </c>
      <c r="GU37" t="s">
        <v>3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HC37">
        <f t="shared" si="52"/>
        <v>0</v>
      </c>
      <c r="HE37" t="s">
        <v>3</v>
      </c>
      <c r="HF37" t="s">
        <v>3</v>
      </c>
      <c r="IK37">
        <v>0</v>
      </c>
    </row>
    <row r="38" spans="1:245" x14ac:dyDescent="0.2">
      <c r="A38">
        <v>17</v>
      </c>
      <c r="B38">
        <v>1</v>
      </c>
      <c r="C38">
        <f>ROW(SmtRes!A1)</f>
        <v>1</v>
      </c>
      <c r="D38">
        <f>ROW(EtalonRes!A1)</f>
        <v>1</v>
      </c>
      <c r="E38" t="s">
        <v>75</v>
      </c>
      <c r="F38" t="s">
        <v>76</v>
      </c>
      <c r="G38" t="s">
        <v>77</v>
      </c>
      <c r="H38" t="s">
        <v>36</v>
      </c>
      <c r="I38">
        <v>17</v>
      </c>
      <c r="J38">
        <v>0</v>
      </c>
      <c r="O38">
        <f t="shared" si="21"/>
        <v>20916.48</v>
      </c>
      <c r="P38">
        <f t="shared" si="22"/>
        <v>1022.45</v>
      </c>
      <c r="Q38">
        <f>(ROUND((ROUND((((ET38*1.2))*AV38*I38),2)*BB38),2)+ROUND((ROUND(((AE38-((EU38*1.2)))*AV38*I38),2)*BS38),2))</f>
        <v>201.84</v>
      </c>
      <c r="R38">
        <f t="shared" si="23"/>
        <v>91.83</v>
      </c>
      <c r="S38">
        <f t="shared" si="24"/>
        <v>19692.189999999999</v>
      </c>
      <c r="T38">
        <f t="shared" si="25"/>
        <v>0</v>
      </c>
      <c r="U38">
        <f t="shared" si="26"/>
        <v>54.634667999999984</v>
      </c>
      <c r="V38">
        <f t="shared" si="27"/>
        <v>0</v>
      </c>
      <c r="W38">
        <f t="shared" si="28"/>
        <v>0</v>
      </c>
      <c r="X38">
        <f t="shared" si="29"/>
        <v>15162.99</v>
      </c>
      <c r="Y38">
        <f t="shared" si="30"/>
        <v>8073.8</v>
      </c>
      <c r="AA38">
        <v>23440596</v>
      </c>
      <c r="AB38">
        <f t="shared" si="31"/>
        <v>52.686</v>
      </c>
      <c r="AC38">
        <f>ROUND((ES38),6)</f>
        <v>7.53</v>
      </c>
      <c r="AD38">
        <f>ROUND(((((ET38*1.2))-((EU38*1.2)))+AE38),6)</f>
        <v>1.4159999999999999</v>
      </c>
      <c r="AE38">
        <f t="shared" si="53"/>
        <v>0.20399999999999999</v>
      </c>
      <c r="AF38">
        <f t="shared" si="53"/>
        <v>43.74</v>
      </c>
      <c r="AG38">
        <f t="shared" si="32"/>
        <v>0</v>
      </c>
      <c r="AH38">
        <f t="shared" si="54"/>
        <v>3.0119999999999996</v>
      </c>
      <c r="AI38">
        <f t="shared" si="54"/>
        <v>0</v>
      </c>
      <c r="AJ38">
        <f t="shared" si="33"/>
        <v>0</v>
      </c>
      <c r="AK38">
        <v>45.16</v>
      </c>
      <c r="AL38">
        <v>7.53</v>
      </c>
      <c r="AM38">
        <v>1.18</v>
      </c>
      <c r="AN38">
        <v>0.17</v>
      </c>
      <c r="AO38">
        <v>36.450000000000003</v>
      </c>
      <c r="AP38">
        <v>0</v>
      </c>
      <c r="AQ38">
        <v>2.5099999999999998</v>
      </c>
      <c r="AR38">
        <v>0</v>
      </c>
      <c r="AS38">
        <v>0</v>
      </c>
      <c r="AT38">
        <v>77</v>
      </c>
      <c r="AU38">
        <v>41</v>
      </c>
      <c r="AV38">
        <v>1.0669999999999999</v>
      </c>
      <c r="AW38">
        <v>1.028</v>
      </c>
      <c r="AZ38">
        <v>1</v>
      </c>
      <c r="BA38">
        <v>24.82</v>
      </c>
      <c r="BB38">
        <v>7.86</v>
      </c>
      <c r="BC38">
        <v>7.77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2</v>
      </c>
      <c r="BJ38" t="s">
        <v>78</v>
      </c>
      <c r="BM38">
        <v>1608</v>
      </c>
      <c r="BN38">
        <v>0</v>
      </c>
      <c r="BO38" t="s">
        <v>76</v>
      </c>
      <c r="BP38">
        <v>1</v>
      </c>
      <c r="BQ38">
        <v>40</v>
      </c>
      <c r="BR38">
        <v>0</v>
      </c>
      <c r="BS38">
        <v>24.82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77</v>
      </c>
      <c r="CA38">
        <v>41</v>
      </c>
      <c r="CE38">
        <v>30</v>
      </c>
      <c r="CF38">
        <v>0</v>
      </c>
      <c r="CG38">
        <v>0</v>
      </c>
      <c r="CM38">
        <v>0</v>
      </c>
      <c r="CN38" t="s">
        <v>240</v>
      </c>
      <c r="CO38">
        <v>0</v>
      </c>
      <c r="CP38">
        <f t="shared" si="34"/>
        <v>20916.48</v>
      </c>
      <c r="CQ38">
        <f t="shared" si="35"/>
        <v>60.14</v>
      </c>
      <c r="CR38">
        <f>(ROUND((ROUND((((ET38*1.2))*AV38*1),2)*BB38),2)+ROUND((ROUND(((AE38-((EU38*1.2)))*AV38*1),2)*BS38),2))</f>
        <v>11.87</v>
      </c>
      <c r="CS38">
        <f t="shared" si="36"/>
        <v>5.46</v>
      </c>
      <c r="CT38">
        <f t="shared" si="37"/>
        <v>1158.3499999999999</v>
      </c>
      <c r="CU38">
        <f t="shared" si="38"/>
        <v>0</v>
      </c>
      <c r="CV38">
        <f t="shared" si="39"/>
        <v>3.2138039999999992</v>
      </c>
      <c r="CW38">
        <f t="shared" si="40"/>
        <v>0</v>
      </c>
      <c r="CX38">
        <f t="shared" si="41"/>
        <v>0</v>
      </c>
      <c r="CY38">
        <f t="shared" si="42"/>
        <v>15162.986299999999</v>
      </c>
      <c r="CZ38">
        <f t="shared" si="43"/>
        <v>8073.7978999999987</v>
      </c>
      <c r="DC38" t="s">
        <v>3</v>
      </c>
      <c r="DD38" t="s">
        <v>3</v>
      </c>
      <c r="DE38" t="s">
        <v>28</v>
      </c>
      <c r="DF38" t="s">
        <v>28</v>
      </c>
      <c r="DG38" t="s">
        <v>28</v>
      </c>
      <c r="DH38" t="s">
        <v>3</v>
      </c>
      <c r="DI38" t="s">
        <v>28</v>
      </c>
      <c r="DJ38" t="s">
        <v>28</v>
      </c>
      <c r="DK38" t="s">
        <v>3</v>
      </c>
      <c r="DL38" t="s">
        <v>3</v>
      </c>
      <c r="DM38" t="s">
        <v>3</v>
      </c>
      <c r="DN38">
        <v>114</v>
      </c>
      <c r="DO38">
        <v>67</v>
      </c>
      <c r="DP38">
        <v>1.0669999999999999</v>
      </c>
      <c r="DQ38">
        <v>1.081</v>
      </c>
      <c r="DU38">
        <v>1010</v>
      </c>
      <c r="DV38" t="s">
        <v>36</v>
      </c>
      <c r="DW38" t="s">
        <v>36</v>
      </c>
      <c r="DX38">
        <v>1</v>
      </c>
      <c r="DZ38" t="s">
        <v>3</v>
      </c>
      <c r="EA38" t="s">
        <v>3</v>
      </c>
      <c r="EB38" t="s">
        <v>3</v>
      </c>
      <c r="EC38" t="s">
        <v>3</v>
      </c>
      <c r="EE38">
        <v>22828449</v>
      </c>
      <c r="EF38">
        <v>40</v>
      </c>
      <c r="EG38" t="s">
        <v>29</v>
      </c>
      <c r="EH38">
        <v>0</v>
      </c>
      <c r="EI38" t="s">
        <v>3</v>
      </c>
      <c r="EJ38">
        <v>2</v>
      </c>
      <c r="EK38">
        <v>1608</v>
      </c>
      <c r="EL38" t="s">
        <v>79</v>
      </c>
      <c r="EM38" t="s">
        <v>80</v>
      </c>
      <c r="EO38" t="s">
        <v>32</v>
      </c>
      <c r="EQ38">
        <v>0</v>
      </c>
      <c r="ER38">
        <v>45.16</v>
      </c>
      <c r="ES38">
        <v>7.53</v>
      </c>
      <c r="ET38">
        <v>1.18</v>
      </c>
      <c r="EU38">
        <v>0.17</v>
      </c>
      <c r="EV38">
        <v>36.450000000000003</v>
      </c>
      <c r="EW38">
        <v>2.5099999999999998</v>
      </c>
      <c r="EX38">
        <v>0</v>
      </c>
      <c r="EY38">
        <v>0</v>
      </c>
      <c r="FQ38">
        <v>0</v>
      </c>
      <c r="FR38">
        <f t="shared" si="44"/>
        <v>0</v>
      </c>
      <c r="FS38">
        <v>0</v>
      </c>
      <c r="FX38">
        <v>114</v>
      </c>
      <c r="FY38">
        <v>67</v>
      </c>
      <c r="GA38" t="s">
        <v>3</v>
      </c>
      <c r="GD38">
        <v>0</v>
      </c>
      <c r="GF38">
        <v>-2146324824</v>
      </c>
      <c r="GG38">
        <v>2</v>
      </c>
      <c r="GH38">
        <v>1</v>
      </c>
      <c r="GI38">
        <v>2</v>
      </c>
      <c r="GJ38">
        <v>0</v>
      </c>
      <c r="GK38">
        <f>ROUND(R38*(R12)/100,2)</f>
        <v>144.16999999999999</v>
      </c>
      <c r="GL38">
        <f t="shared" si="45"/>
        <v>0</v>
      </c>
      <c r="GM38">
        <f t="shared" si="46"/>
        <v>44297.440000000002</v>
      </c>
      <c r="GN38">
        <f t="shared" si="47"/>
        <v>0</v>
      </c>
      <c r="GO38">
        <f t="shared" si="48"/>
        <v>44297.440000000002</v>
      </c>
      <c r="GP38">
        <f t="shared" si="49"/>
        <v>0</v>
      </c>
      <c r="GR38">
        <v>0</v>
      </c>
      <c r="GS38">
        <v>3</v>
      </c>
      <c r="GT38">
        <v>0</v>
      </c>
      <c r="GU38" t="s">
        <v>3</v>
      </c>
      <c r="GV38">
        <f t="shared" si="50"/>
        <v>0</v>
      </c>
      <c r="GW38">
        <v>1</v>
      </c>
      <c r="GX38">
        <f t="shared" si="51"/>
        <v>0</v>
      </c>
      <c r="HA38">
        <v>0</v>
      </c>
      <c r="HB38">
        <v>0</v>
      </c>
      <c r="HC38">
        <f t="shared" si="52"/>
        <v>0</v>
      </c>
      <c r="HE38" t="s">
        <v>3</v>
      </c>
      <c r="HF38" t="s">
        <v>3</v>
      </c>
      <c r="IK38">
        <v>0</v>
      </c>
    </row>
    <row r="39" spans="1:245" x14ac:dyDescent="0.2">
      <c r="A39">
        <v>17</v>
      </c>
      <c r="B39">
        <v>1</v>
      </c>
      <c r="E39" t="s">
        <v>81</v>
      </c>
      <c r="F39" t="s">
        <v>82</v>
      </c>
      <c r="G39" t="s">
        <v>83</v>
      </c>
      <c r="H39" t="s">
        <v>36</v>
      </c>
      <c r="I39">
        <v>3</v>
      </c>
      <c r="J39">
        <v>0</v>
      </c>
      <c r="O39">
        <f t="shared" si="21"/>
        <v>12771.98</v>
      </c>
      <c r="P39">
        <f t="shared" si="22"/>
        <v>517.57000000000005</v>
      </c>
      <c r="Q39">
        <f>(ROUND((ROUND((((ET39*1.2))*AV39*I39),2)*BB39),2)+ROUND((ROUND(((AE39-((EU39*1.2)))*AV39*I39),2)*BS39),2))</f>
        <v>29.07</v>
      </c>
      <c r="R39">
        <f t="shared" si="23"/>
        <v>19.11</v>
      </c>
      <c r="S39">
        <f t="shared" si="24"/>
        <v>12225.34</v>
      </c>
      <c r="T39">
        <f t="shared" si="25"/>
        <v>0</v>
      </c>
      <c r="U39">
        <f t="shared" si="26"/>
        <v>39.948480000000004</v>
      </c>
      <c r="V39">
        <f t="shared" si="27"/>
        <v>0</v>
      </c>
      <c r="W39">
        <f t="shared" si="28"/>
        <v>0</v>
      </c>
      <c r="X39">
        <f t="shared" si="29"/>
        <v>9413.51</v>
      </c>
      <c r="Y39">
        <f t="shared" si="30"/>
        <v>5012.3900000000003</v>
      </c>
      <c r="AA39">
        <v>23440596</v>
      </c>
      <c r="AB39">
        <f t="shared" si="31"/>
        <v>185.066</v>
      </c>
      <c r="AC39">
        <f>ROUND((ES39),6)</f>
        <v>30.17</v>
      </c>
      <c r="AD39">
        <f>ROUND(((((ET39*1.2))-((EU39*1.2)))+AE39),6)</f>
        <v>1.02</v>
      </c>
      <c r="AE39">
        <f t="shared" si="53"/>
        <v>0.24</v>
      </c>
      <c r="AF39">
        <f t="shared" si="53"/>
        <v>153.876</v>
      </c>
      <c r="AG39">
        <f t="shared" si="32"/>
        <v>0</v>
      </c>
      <c r="AH39">
        <f t="shared" si="54"/>
        <v>12.48</v>
      </c>
      <c r="AI39">
        <f t="shared" si="54"/>
        <v>0</v>
      </c>
      <c r="AJ39">
        <f t="shared" si="33"/>
        <v>0</v>
      </c>
      <c r="AK39">
        <v>159.25</v>
      </c>
      <c r="AL39">
        <v>30.17</v>
      </c>
      <c r="AM39">
        <v>0.85</v>
      </c>
      <c r="AN39">
        <v>0.2</v>
      </c>
      <c r="AO39">
        <v>128.22999999999999</v>
      </c>
      <c r="AP39">
        <v>0</v>
      </c>
      <c r="AQ39">
        <v>10.4</v>
      </c>
      <c r="AR39">
        <v>0</v>
      </c>
      <c r="AS39">
        <v>0</v>
      </c>
      <c r="AT39">
        <v>77</v>
      </c>
      <c r="AU39">
        <v>41</v>
      </c>
      <c r="AV39">
        <v>1.0669999999999999</v>
      </c>
      <c r="AW39">
        <v>1.081</v>
      </c>
      <c r="AZ39">
        <v>1</v>
      </c>
      <c r="BA39">
        <v>24.82</v>
      </c>
      <c r="BB39">
        <v>8.89</v>
      </c>
      <c r="BC39">
        <v>5.29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84</v>
      </c>
      <c r="BM39">
        <v>323</v>
      </c>
      <c r="BN39">
        <v>0</v>
      </c>
      <c r="BO39" t="s">
        <v>82</v>
      </c>
      <c r="BP39">
        <v>1</v>
      </c>
      <c r="BQ39">
        <v>40</v>
      </c>
      <c r="BR39">
        <v>0</v>
      </c>
      <c r="BS39">
        <v>24.82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77</v>
      </c>
      <c r="CA39">
        <v>41</v>
      </c>
      <c r="CE39">
        <v>30</v>
      </c>
      <c r="CF39">
        <v>0</v>
      </c>
      <c r="CG39">
        <v>0</v>
      </c>
      <c r="CM39">
        <v>0</v>
      </c>
      <c r="CN39" t="s">
        <v>240</v>
      </c>
      <c r="CO39">
        <v>0</v>
      </c>
      <c r="CP39">
        <f t="shared" si="34"/>
        <v>12771.98</v>
      </c>
      <c r="CQ39">
        <f t="shared" si="35"/>
        <v>172.51</v>
      </c>
      <c r="CR39">
        <f>(ROUND((ROUND((((ET39*1.2))*AV39*1),2)*BB39),2)+ROUND((ROUND(((AE39-((EU39*1.2)))*AV39*1),2)*BS39),2))</f>
        <v>9.69</v>
      </c>
      <c r="CS39">
        <f t="shared" si="36"/>
        <v>6.45</v>
      </c>
      <c r="CT39">
        <f t="shared" si="37"/>
        <v>4075.2</v>
      </c>
      <c r="CU39">
        <f t="shared" si="38"/>
        <v>0</v>
      </c>
      <c r="CV39">
        <f t="shared" si="39"/>
        <v>13.31616</v>
      </c>
      <c r="CW39">
        <f t="shared" si="40"/>
        <v>0</v>
      </c>
      <c r="CX39">
        <f t="shared" si="41"/>
        <v>0</v>
      </c>
      <c r="CY39">
        <f t="shared" si="42"/>
        <v>9413.5118000000002</v>
      </c>
      <c r="CZ39">
        <f t="shared" si="43"/>
        <v>5012.3894</v>
      </c>
      <c r="DC39" t="s">
        <v>3</v>
      </c>
      <c r="DD39" t="s">
        <v>3</v>
      </c>
      <c r="DE39" t="s">
        <v>28</v>
      </c>
      <c r="DF39" t="s">
        <v>28</v>
      </c>
      <c r="DG39" t="s">
        <v>28</v>
      </c>
      <c r="DH39" t="s">
        <v>3</v>
      </c>
      <c r="DI39" t="s">
        <v>28</v>
      </c>
      <c r="DJ39" t="s">
        <v>28</v>
      </c>
      <c r="DK39" t="s">
        <v>3</v>
      </c>
      <c r="DL39" t="s">
        <v>3</v>
      </c>
      <c r="DM39" t="s">
        <v>3</v>
      </c>
      <c r="DN39">
        <v>114</v>
      </c>
      <c r="DO39">
        <v>67</v>
      </c>
      <c r="DP39">
        <v>1.0669999999999999</v>
      </c>
      <c r="DQ39">
        <v>1.081</v>
      </c>
      <c r="DU39">
        <v>1010</v>
      </c>
      <c r="DV39" t="s">
        <v>36</v>
      </c>
      <c r="DW39" t="s">
        <v>36</v>
      </c>
      <c r="DX39">
        <v>1</v>
      </c>
      <c r="DZ39" t="s">
        <v>3</v>
      </c>
      <c r="EA39" t="s">
        <v>3</v>
      </c>
      <c r="EB39" t="s">
        <v>3</v>
      </c>
      <c r="EC39" t="s">
        <v>3</v>
      </c>
      <c r="EE39">
        <v>22827164</v>
      </c>
      <c r="EF39">
        <v>40</v>
      </c>
      <c r="EG39" t="s">
        <v>29</v>
      </c>
      <c r="EH39">
        <v>0</v>
      </c>
      <c r="EI39" t="s">
        <v>3</v>
      </c>
      <c r="EJ39">
        <v>2</v>
      </c>
      <c r="EK39">
        <v>323</v>
      </c>
      <c r="EL39" t="s">
        <v>85</v>
      </c>
      <c r="EM39" t="s">
        <v>86</v>
      </c>
      <c r="EO39" t="s">
        <v>32</v>
      </c>
      <c r="EQ39">
        <v>0</v>
      </c>
      <c r="ER39">
        <v>159.25</v>
      </c>
      <c r="ES39">
        <v>30.17</v>
      </c>
      <c r="ET39">
        <v>0.85</v>
      </c>
      <c r="EU39">
        <v>0.2</v>
      </c>
      <c r="EV39">
        <v>128.22999999999999</v>
      </c>
      <c r="EW39">
        <v>10.4</v>
      </c>
      <c r="EX39">
        <v>0</v>
      </c>
      <c r="EY39">
        <v>0</v>
      </c>
      <c r="FQ39">
        <v>0</v>
      </c>
      <c r="FR39">
        <f t="shared" si="44"/>
        <v>0</v>
      </c>
      <c r="FS39">
        <v>0</v>
      </c>
      <c r="FX39">
        <v>114</v>
      </c>
      <c r="FY39">
        <v>67</v>
      </c>
      <c r="GA39" t="s">
        <v>3</v>
      </c>
      <c r="GD39">
        <v>0</v>
      </c>
      <c r="GF39">
        <v>-884036204</v>
      </c>
      <c r="GG39">
        <v>2</v>
      </c>
      <c r="GH39">
        <v>1</v>
      </c>
      <c r="GI39">
        <v>2</v>
      </c>
      <c r="GJ39">
        <v>0</v>
      </c>
      <c r="GK39">
        <f>ROUND(R39*(R12)/100,2)</f>
        <v>30</v>
      </c>
      <c r="GL39">
        <f t="shared" si="45"/>
        <v>0</v>
      </c>
      <c r="GM39">
        <f t="shared" si="46"/>
        <v>27227.88</v>
      </c>
      <c r="GN39">
        <f t="shared" si="47"/>
        <v>0</v>
      </c>
      <c r="GO39">
        <f t="shared" si="48"/>
        <v>27227.88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HC39">
        <f t="shared" si="52"/>
        <v>0</v>
      </c>
      <c r="HE39" t="s">
        <v>3</v>
      </c>
      <c r="HF39" t="s">
        <v>3</v>
      </c>
      <c r="IK39">
        <v>0</v>
      </c>
    </row>
    <row r="41" spans="1:245" x14ac:dyDescent="0.2">
      <c r="A41" s="2">
        <v>51</v>
      </c>
      <c r="B41" s="2">
        <f>B24</f>
        <v>1</v>
      </c>
      <c r="C41" s="2">
        <f>A24</f>
        <v>4</v>
      </c>
      <c r="D41" s="2">
        <f>ROW(A24)</f>
        <v>24</v>
      </c>
      <c r="E41" s="2"/>
      <c r="F41" s="2" t="str">
        <f>IF(F24&lt;&gt;"",F24,"")</f>
        <v>Новый раздел</v>
      </c>
      <c r="G41" s="2" t="str">
        <f>IF(G24&lt;&gt;"",G24,"")</f>
        <v>Электромонтажные работы.</v>
      </c>
      <c r="H41" s="2">
        <v>0</v>
      </c>
      <c r="I41" s="2"/>
      <c r="J41" s="2"/>
      <c r="K41" s="2"/>
      <c r="L41" s="2"/>
      <c r="M41" s="2"/>
      <c r="N41" s="2"/>
      <c r="O41" s="2">
        <f t="shared" ref="O41:T41" si="55">ROUND(AB41,2)</f>
        <v>116528.63</v>
      </c>
      <c r="P41" s="2">
        <f t="shared" si="55"/>
        <v>18207.150000000001</v>
      </c>
      <c r="Q41" s="2">
        <f t="shared" si="55"/>
        <v>24131.22</v>
      </c>
      <c r="R41" s="2">
        <f t="shared" si="55"/>
        <v>12478.27</v>
      </c>
      <c r="S41" s="2">
        <f t="shared" si="55"/>
        <v>74190.259999999995</v>
      </c>
      <c r="T41" s="2">
        <f t="shared" si="55"/>
        <v>0</v>
      </c>
      <c r="U41" s="2">
        <f>AH41</f>
        <v>230.79556439999999</v>
      </c>
      <c r="V41" s="2">
        <f>AI41</f>
        <v>0</v>
      </c>
      <c r="W41" s="2">
        <f>ROUND(AJ41,2)</f>
        <v>0</v>
      </c>
      <c r="X41" s="2">
        <f>ROUND(AK41,2)</f>
        <v>57126.5</v>
      </c>
      <c r="Y41" s="2">
        <f>ROUND(AL41,2)</f>
        <v>30418.03</v>
      </c>
      <c r="Z41" s="2"/>
      <c r="AA41" s="2"/>
      <c r="AB41" s="2">
        <f>ROUND(SUMIF(AA28:AA39,"=23440596",O28:O39),2)</f>
        <v>116528.63</v>
      </c>
      <c r="AC41" s="2">
        <f>ROUND(SUMIF(AA28:AA39,"=23440596",P28:P39),2)</f>
        <v>18207.150000000001</v>
      </c>
      <c r="AD41" s="2">
        <f>ROUND(SUMIF(AA28:AA39,"=23440596",Q28:Q39),2)</f>
        <v>24131.22</v>
      </c>
      <c r="AE41" s="2">
        <f>ROUND(SUMIF(AA28:AA39,"=23440596",R28:R39),2)</f>
        <v>12478.27</v>
      </c>
      <c r="AF41" s="2">
        <f>ROUND(SUMIF(AA28:AA39,"=23440596",S28:S39),2)</f>
        <v>74190.259999999995</v>
      </c>
      <c r="AG41" s="2">
        <f>ROUND(SUMIF(AA28:AA39,"=23440596",T28:T39),2)</f>
        <v>0</v>
      </c>
      <c r="AH41" s="2">
        <f>SUMIF(AA28:AA39,"=23440596",U28:U39)</f>
        <v>230.79556439999999</v>
      </c>
      <c r="AI41" s="2">
        <f>SUMIF(AA28:AA39,"=23440596",V28:V39)</f>
        <v>0</v>
      </c>
      <c r="AJ41" s="2">
        <f>ROUND(SUMIF(AA28:AA39,"=23440596",W28:W39),2)</f>
        <v>0</v>
      </c>
      <c r="AK41" s="2">
        <f>ROUND(SUMIF(AA28:AA39,"=23440596",X28:X39),2)</f>
        <v>57126.5</v>
      </c>
      <c r="AL41" s="2">
        <f>ROUND(SUMIF(AA28:AA39,"=23440596",Y28:Y39),2)</f>
        <v>30418.03</v>
      </c>
      <c r="AM41" s="2"/>
      <c r="AN41" s="2"/>
      <c r="AO41" s="2">
        <f t="shared" ref="AO41:BD41" si="56">ROUND(BX41,2)</f>
        <v>0</v>
      </c>
      <c r="AP41" s="2">
        <f t="shared" si="56"/>
        <v>0</v>
      </c>
      <c r="AQ41" s="2">
        <f t="shared" si="56"/>
        <v>0</v>
      </c>
      <c r="AR41" s="2">
        <f t="shared" si="56"/>
        <v>223664.04</v>
      </c>
      <c r="AS41" s="2">
        <f t="shared" si="56"/>
        <v>0</v>
      </c>
      <c r="AT41" s="2">
        <f t="shared" si="56"/>
        <v>223664.04</v>
      </c>
      <c r="AU41" s="2">
        <f t="shared" si="56"/>
        <v>0</v>
      </c>
      <c r="AV41" s="2">
        <f t="shared" si="56"/>
        <v>18207.150000000001</v>
      </c>
      <c r="AW41" s="2">
        <f t="shared" si="56"/>
        <v>18207.150000000001</v>
      </c>
      <c r="AX41" s="2">
        <f t="shared" si="56"/>
        <v>0</v>
      </c>
      <c r="AY41" s="2">
        <f t="shared" si="56"/>
        <v>18207.150000000001</v>
      </c>
      <c r="AZ41" s="2">
        <f t="shared" si="56"/>
        <v>0</v>
      </c>
      <c r="BA41" s="2">
        <f t="shared" si="56"/>
        <v>0</v>
      </c>
      <c r="BB41" s="2">
        <f t="shared" si="56"/>
        <v>0</v>
      </c>
      <c r="BC41" s="2">
        <f t="shared" si="56"/>
        <v>0</v>
      </c>
      <c r="BD41" s="2">
        <f t="shared" si="56"/>
        <v>0</v>
      </c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>
        <f>ROUND(SUMIF(AA28:AA39,"=23440596",FQ28:FQ39),2)</f>
        <v>0</v>
      </c>
      <c r="BY41" s="2">
        <f>ROUND(SUMIF(AA28:AA39,"=23440596",FR28:FR39),2)</f>
        <v>0</v>
      </c>
      <c r="BZ41" s="2">
        <f>ROUND(SUMIF(AA28:AA39,"=23440596",GL28:GL39),2)</f>
        <v>0</v>
      </c>
      <c r="CA41" s="2">
        <f>ROUND(SUMIF(AA28:AA39,"=23440596",GM28:GM39),2)</f>
        <v>223664.04</v>
      </c>
      <c r="CB41" s="2">
        <f>ROUND(SUMIF(AA28:AA39,"=23440596",GN28:GN39),2)</f>
        <v>0</v>
      </c>
      <c r="CC41" s="2">
        <f>ROUND(SUMIF(AA28:AA39,"=23440596",GO28:GO39),2)</f>
        <v>223664.04</v>
      </c>
      <c r="CD41" s="2">
        <f>ROUND(SUMIF(AA28:AA39,"=23440596",GP28:GP39),2)</f>
        <v>0</v>
      </c>
      <c r="CE41" s="2">
        <f>AC41-BX41</f>
        <v>18207.150000000001</v>
      </c>
      <c r="CF41" s="2">
        <f>AC41-BY41</f>
        <v>18207.150000000001</v>
      </c>
      <c r="CG41" s="2">
        <f>BX41-BZ41</f>
        <v>0</v>
      </c>
      <c r="CH41" s="2">
        <f>AC41-BX41-BY41+BZ41</f>
        <v>18207.150000000001</v>
      </c>
      <c r="CI41" s="2">
        <f>BY41-BZ41</f>
        <v>0</v>
      </c>
      <c r="CJ41" s="2">
        <f>ROUND(SUMIF(AA28:AA39,"=23440596",GX28:GX39),2)</f>
        <v>0</v>
      </c>
      <c r="CK41" s="2">
        <f>ROUND(SUMIF(AA28:AA39,"=23440596",GY28:GY39),2)</f>
        <v>0</v>
      </c>
      <c r="CL41" s="2">
        <f>ROUND(SUMIF(AA28:AA39,"=23440596",GZ28:GZ39),2)</f>
        <v>0</v>
      </c>
      <c r="CM41" s="2">
        <f>ROUND(SUMIF(AA28:AA39,"=23440596",HD28:HD39),2)</f>
        <v>0</v>
      </c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>
        <v>0</v>
      </c>
    </row>
    <row r="43" spans="1:245" x14ac:dyDescent="0.2">
      <c r="A43" s="4">
        <v>50</v>
      </c>
      <c r="B43" s="4">
        <v>0</v>
      </c>
      <c r="C43" s="4">
        <v>0</v>
      </c>
      <c r="D43" s="4">
        <v>1</v>
      </c>
      <c r="E43" s="4">
        <v>201</v>
      </c>
      <c r="F43" s="4">
        <f>ROUND(Source!O41,O43)</f>
        <v>116528.63</v>
      </c>
      <c r="G43" s="4" t="s">
        <v>87</v>
      </c>
      <c r="H43" s="4" t="s">
        <v>88</v>
      </c>
      <c r="I43" s="4"/>
      <c r="J43" s="4"/>
      <c r="K43" s="4">
        <v>201</v>
      </c>
      <c r="L43" s="4">
        <v>1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 x14ac:dyDescent="0.2">
      <c r="A44" s="4">
        <v>50</v>
      </c>
      <c r="B44" s="4">
        <v>0</v>
      </c>
      <c r="C44" s="4">
        <v>0</v>
      </c>
      <c r="D44" s="4">
        <v>1</v>
      </c>
      <c r="E44" s="4">
        <v>202</v>
      </c>
      <c r="F44" s="4">
        <f>ROUND(Source!P41,O44)</f>
        <v>18207.150000000001</v>
      </c>
      <c r="G44" s="4" t="s">
        <v>89</v>
      </c>
      <c r="H44" s="4" t="s">
        <v>90</v>
      </c>
      <c r="I44" s="4"/>
      <c r="J44" s="4"/>
      <c r="K44" s="4">
        <v>202</v>
      </c>
      <c r="L44" s="4">
        <v>2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222</v>
      </c>
      <c r="F45" s="4">
        <f>ROUND(Source!AO41,O45)</f>
        <v>0</v>
      </c>
      <c r="G45" s="4" t="s">
        <v>91</v>
      </c>
      <c r="H45" s="4" t="s">
        <v>92</v>
      </c>
      <c r="I45" s="4"/>
      <c r="J45" s="4"/>
      <c r="K45" s="4">
        <v>222</v>
      </c>
      <c r="L45" s="4">
        <v>3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225</v>
      </c>
      <c r="F46" s="4">
        <f>ROUND(Source!AV41,O46)</f>
        <v>18207.150000000001</v>
      </c>
      <c r="G46" s="4" t="s">
        <v>93</v>
      </c>
      <c r="H46" s="4" t="s">
        <v>94</v>
      </c>
      <c r="I46" s="4"/>
      <c r="J46" s="4"/>
      <c r="K46" s="4">
        <v>225</v>
      </c>
      <c r="L46" s="4">
        <v>4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226</v>
      </c>
      <c r="F47" s="4">
        <f>ROUND(Source!AW41,O47)</f>
        <v>18207.150000000001</v>
      </c>
      <c r="G47" s="4" t="s">
        <v>95</v>
      </c>
      <c r="H47" s="4" t="s">
        <v>96</v>
      </c>
      <c r="I47" s="4"/>
      <c r="J47" s="4"/>
      <c r="K47" s="4">
        <v>226</v>
      </c>
      <c r="L47" s="4">
        <v>5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227</v>
      </c>
      <c r="F48" s="4">
        <f>ROUND(Source!AX41,O48)</f>
        <v>0</v>
      </c>
      <c r="G48" s="4" t="s">
        <v>97</v>
      </c>
      <c r="H48" s="4" t="s">
        <v>98</v>
      </c>
      <c r="I48" s="4"/>
      <c r="J48" s="4"/>
      <c r="K48" s="4">
        <v>227</v>
      </c>
      <c r="L48" s="4">
        <v>6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228</v>
      </c>
      <c r="F49" s="4">
        <f>ROUND(Source!AY41,O49)</f>
        <v>18207.150000000001</v>
      </c>
      <c r="G49" s="4" t="s">
        <v>99</v>
      </c>
      <c r="H49" s="4" t="s">
        <v>100</v>
      </c>
      <c r="I49" s="4"/>
      <c r="J49" s="4"/>
      <c r="K49" s="4">
        <v>228</v>
      </c>
      <c r="L49" s="4">
        <v>7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216</v>
      </c>
      <c r="F50" s="4">
        <f>ROUND(Source!AP41,O50)</f>
        <v>0</v>
      </c>
      <c r="G50" s="4" t="s">
        <v>101</v>
      </c>
      <c r="H50" s="4" t="s">
        <v>102</v>
      </c>
      <c r="I50" s="4"/>
      <c r="J50" s="4"/>
      <c r="K50" s="4">
        <v>216</v>
      </c>
      <c r="L50" s="4">
        <v>8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223</v>
      </c>
      <c r="F51" s="4">
        <f>ROUND(Source!AQ41,O51)</f>
        <v>0</v>
      </c>
      <c r="G51" s="4" t="s">
        <v>103</v>
      </c>
      <c r="H51" s="4" t="s">
        <v>104</v>
      </c>
      <c r="I51" s="4"/>
      <c r="J51" s="4"/>
      <c r="K51" s="4">
        <v>223</v>
      </c>
      <c r="L51" s="4">
        <v>9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229</v>
      </c>
      <c r="F52" s="4">
        <f>ROUND(Source!AZ41,O52)</f>
        <v>0</v>
      </c>
      <c r="G52" s="4" t="s">
        <v>105</v>
      </c>
      <c r="H52" s="4" t="s">
        <v>106</v>
      </c>
      <c r="I52" s="4"/>
      <c r="J52" s="4"/>
      <c r="K52" s="4">
        <v>229</v>
      </c>
      <c r="L52" s="4">
        <v>10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203</v>
      </c>
      <c r="F53" s="4">
        <f>ROUND(Source!Q41,O53)</f>
        <v>24131.22</v>
      </c>
      <c r="G53" s="4" t="s">
        <v>107</v>
      </c>
      <c r="H53" s="4" t="s">
        <v>108</v>
      </c>
      <c r="I53" s="4"/>
      <c r="J53" s="4"/>
      <c r="K53" s="4">
        <v>203</v>
      </c>
      <c r="L53" s="4">
        <v>11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231</v>
      </c>
      <c r="F54" s="4">
        <f>ROUND(Source!BB41,O54)</f>
        <v>0</v>
      </c>
      <c r="G54" s="4" t="s">
        <v>109</v>
      </c>
      <c r="H54" s="4" t="s">
        <v>110</v>
      </c>
      <c r="I54" s="4"/>
      <c r="J54" s="4"/>
      <c r="K54" s="4">
        <v>231</v>
      </c>
      <c r="L54" s="4">
        <v>12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204</v>
      </c>
      <c r="F55" s="4">
        <f>ROUND(Source!R41,O55)</f>
        <v>12478.27</v>
      </c>
      <c r="G55" s="4" t="s">
        <v>111</v>
      </c>
      <c r="H55" s="4" t="s">
        <v>112</v>
      </c>
      <c r="I55" s="4"/>
      <c r="J55" s="4"/>
      <c r="K55" s="4">
        <v>204</v>
      </c>
      <c r="L55" s="4">
        <v>13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205</v>
      </c>
      <c r="F56" s="4">
        <f>ROUND(Source!S41,O56)</f>
        <v>74190.259999999995</v>
      </c>
      <c r="G56" s="4" t="s">
        <v>113</v>
      </c>
      <c r="H56" s="4" t="s">
        <v>114</v>
      </c>
      <c r="I56" s="4"/>
      <c r="J56" s="4"/>
      <c r="K56" s="4">
        <v>205</v>
      </c>
      <c r="L56" s="4">
        <v>14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232</v>
      </c>
      <c r="F57" s="4">
        <f>ROUND(Source!BC41,O57)</f>
        <v>0</v>
      </c>
      <c r="G57" s="4" t="s">
        <v>115</v>
      </c>
      <c r="H57" s="4" t="s">
        <v>116</v>
      </c>
      <c r="I57" s="4"/>
      <c r="J57" s="4"/>
      <c r="K57" s="4">
        <v>232</v>
      </c>
      <c r="L57" s="4">
        <v>15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214</v>
      </c>
      <c r="F58" s="4">
        <f>ROUND(Source!AS41,O58)</f>
        <v>0</v>
      </c>
      <c r="G58" s="4" t="s">
        <v>117</v>
      </c>
      <c r="H58" s="4" t="s">
        <v>118</v>
      </c>
      <c r="I58" s="4"/>
      <c r="J58" s="4"/>
      <c r="K58" s="4">
        <v>214</v>
      </c>
      <c r="L58" s="4">
        <v>16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215</v>
      </c>
      <c r="F59" s="4">
        <f>ROUND(Source!AT41,O59)</f>
        <v>223664.04</v>
      </c>
      <c r="G59" s="4" t="s">
        <v>119</v>
      </c>
      <c r="H59" s="4" t="s">
        <v>120</v>
      </c>
      <c r="I59" s="4"/>
      <c r="J59" s="4"/>
      <c r="K59" s="4">
        <v>215</v>
      </c>
      <c r="L59" s="4">
        <v>17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217</v>
      </c>
      <c r="F60" s="4">
        <f>ROUND(Source!AU41,O60)</f>
        <v>0</v>
      </c>
      <c r="G60" s="4" t="s">
        <v>121</v>
      </c>
      <c r="H60" s="4" t="s">
        <v>122</v>
      </c>
      <c r="I60" s="4"/>
      <c r="J60" s="4"/>
      <c r="K60" s="4">
        <v>217</v>
      </c>
      <c r="L60" s="4">
        <v>18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230</v>
      </c>
      <c r="F61" s="4">
        <f>ROUND(Source!BA41,O61)</f>
        <v>0</v>
      </c>
      <c r="G61" s="4" t="s">
        <v>123</v>
      </c>
      <c r="H61" s="4" t="s">
        <v>124</v>
      </c>
      <c r="I61" s="4"/>
      <c r="J61" s="4"/>
      <c r="K61" s="4">
        <v>230</v>
      </c>
      <c r="L61" s="4">
        <v>19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206</v>
      </c>
      <c r="F62" s="4">
        <f>ROUND(Source!T41,O62)</f>
        <v>0</v>
      </c>
      <c r="G62" s="4" t="s">
        <v>125</v>
      </c>
      <c r="H62" s="4" t="s">
        <v>126</v>
      </c>
      <c r="I62" s="4"/>
      <c r="J62" s="4"/>
      <c r="K62" s="4">
        <v>206</v>
      </c>
      <c r="L62" s="4">
        <v>20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207</v>
      </c>
      <c r="F63" s="4">
        <f>Source!U41</f>
        <v>230.79556439999999</v>
      </c>
      <c r="G63" s="4" t="s">
        <v>127</v>
      </c>
      <c r="H63" s="4" t="s">
        <v>128</v>
      </c>
      <c r="I63" s="4"/>
      <c r="J63" s="4"/>
      <c r="K63" s="4">
        <v>207</v>
      </c>
      <c r="L63" s="4">
        <v>21</v>
      </c>
      <c r="M63" s="4">
        <v>3</v>
      </c>
      <c r="N63" s="4" t="s">
        <v>3</v>
      </c>
      <c r="O63" s="4">
        <v>-1</v>
      </c>
      <c r="P63" s="4"/>
      <c r="Q63" s="4"/>
      <c r="R63" s="4"/>
      <c r="S63" s="4"/>
      <c r="T63" s="4"/>
      <c r="U63" s="4"/>
      <c r="V63" s="4"/>
      <c r="W63" s="4"/>
    </row>
    <row r="64" spans="1:23" x14ac:dyDescent="0.2">
      <c r="A64" s="4">
        <v>50</v>
      </c>
      <c r="B64" s="4">
        <v>0</v>
      </c>
      <c r="C64" s="4">
        <v>0</v>
      </c>
      <c r="D64" s="4">
        <v>1</v>
      </c>
      <c r="E64" s="4">
        <v>208</v>
      </c>
      <c r="F64" s="4">
        <f>Source!V41</f>
        <v>0</v>
      </c>
      <c r="G64" s="4" t="s">
        <v>129</v>
      </c>
      <c r="H64" s="4" t="s">
        <v>130</v>
      </c>
      <c r="I64" s="4"/>
      <c r="J64" s="4"/>
      <c r="K64" s="4">
        <v>208</v>
      </c>
      <c r="L64" s="4">
        <v>22</v>
      </c>
      <c r="M64" s="4">
        <v>3</v>
      </c>
      <c r="N64" s="4" t="s">
        <v>3</v>
      </c>
      <c r="O64" s="4">
        <v>-1</v>
      </c>
      <c r="P64" s="4"/>
      <c r="Q64" s="4"/>
      <c r="R64" s="4"/>
      <c r="S64" s="4"/>
      <c r="T64" s="4"/>
      <c r="U64" s="4"/>
      <c r="V64" s="4"/>
      <c r="W64" s="4"/>
    </row>
    <row r="65" spans="1:245" x14ac:dyDescent="0.2">
      <c r="A65" s="4">
        <v>50</v>
      </c>
      <c r="B65" s="4">
        <v>0</v>
      </c>
      <c r="C65" s="4">
        <v>0</v>
      </c>
      <c r="D65" s="4">
        <v>1</v>
      </c>
      <c r="E65" s="4">
        <v>209</v>
      </c>
      <c r="F65" s="4">
        <f>ROUND(Source!W41,O65)</f>
        <v>0</v>
      </c>
      <c r="G65" s="4" t="s">
        <v>131</v>
      </c>
      <c r="H65" s="4" t="s">
        <v>132</v>
      </c>
      <c r="I65" s="4"/>
      <c r="J65" s="4"/>
      <c r="K65" s="4">
        <v>209</v>
      </c>
      <c r="L65" s="4">
        <v>23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45" x14ac:dyDescent="0.2">
      <c r="A66" s="4">
        <v>50</v>
      </c>
      <c r="B66" s="4">
        <v>0</v>
      </c>
      <c r="C66" s="4">
        <v>0</v>
      </c>
      <c r="D66" s="4">
        <v>1</v>
      </c>
      <c r="E66" s="4">
        <v>233</v>
      </c>
      <c r="F66" s="4">
        <f>ROUND(Source!BD41,O66)</f>
        <v>0</v>
      </c>
      <c r="G66" s="4" t="s">
        <v>133</v>
      </c>
      <c r="H66" s="4" t="s">
        <v>134</v>
      </c>
      <c r="I66" s="4"/>
      <c r="J66" s="4"/>
      <c r="K66" s="4">
        <v>233</v>
      </c>
      <c r="L66" s="4">
        <v>24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45" x14ac:dyDescent="0.2">
      <c r="A67" s="4">
        <v>50</v>
      </c>
      <c r="B67" s="4">
        <v>0</v>
      </c>
      <c r="C67" s="4">
        <v>0</v>
      </c>
      <c r="D67" s="4">
        <v>1</v>
      </c>
      <c r="E67" s="4">
        <v>210</v>
      </c>
      <c r="F67" s="4">
        <f>ROUND(Source!X41,O67)</f>
        <v>57126.5</v>
      </c>
      <c r="G67" s="4" t="s">
        <v>135</v>
      </c>
      <c r="H67" s="4" t="s">
        <v>136</v>
      </c>
      <c r="I67" s="4"/>
      <c r="J67" s="4"/>
      <c r="K67" s="4">
        <v>210</v>
      </c>
      <c r="L67" s="4">
        <v>25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45" x14ac:dyDescent="0.2">
      <c r="A68" s="4">
        <v>50</v>
      </c>
      <c r="B68" s="4">
        <v>0</v>
      </c>
      <c r="C68" s="4">
        <v>0</v>
      </c>
      <c r="D68" s="4">
        <v>1</v>
      </c>
      <c r="E68" s="4">
        <v>211</v>
      </c>
      <c r="F68" s="4">
        <f>ROUND(Source!Y41,O68)</f>
        <v>30418.03</v>
      </c>
      <c r="G68" s="4" t="s">
        <v>137</v>
      </c>
      <c r="H68" s="4" t="s">
        <v>138</v>
      </c>
      <c r="I68" s="4"/>
      <c r="J68" s="4"/>
      <c r="K68" s="4">
        <v>211</v>
      </c>
      <c r="L68" s="4">
        <v>26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45" x14ac:dyDescent="0.2">
      <c r="A69" s="4">
        <v>50</v>
      </c>
      <c r="B69" s="4">
        <v>0</v>
      </c>
      <c r="C69" s="4">
        <v>0</v>
      </c>
      <c r="D69" s="4">
        <v>1</v>
      </c>
      <c r="E69" s="4">
        <v>224</v>
      </c>
      <c r="F69" s="4">
        <f>ROUND(Source!AR41,O69)</f>
        <v>223664.04</v>
      </c>
      <c r="G69" s="4" t="s">
        <v>139</v>
      </c>
      <c r="H69" s="4" t="s">
        <v>140</v>
      </c>
      <c r="I69" s="4"/>
      <c r="J69" s="4"/>
      <c r="K69" s="4">
        <v>224</v>
      </c>
      <c r="L69" s="4">
        <v>27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1" spans="1:245" x14ac:dyDescent="0.2">
      <c r="A71" s="1">
        <v>4</v>
      </c>
      <c r="B71" s="1">
        <v>1</v>
      </c>
      <c r="C71" s="1"/>
      <c r="D71" s="1">
        <f>ROW(A86)</f>
        <v>86</v>
      </c>
      <c r="E71" s="1"/>
      <c r="F71" s="1" t="s">
        <v>21</v>
      </c>
      <c r="G71" s="1" t="s">
        <v>141</v>
      </c>
      <c r="H71" s="1" t="s">
        <v>3</v>
      </c>
      <c r="I71" s="1">
        <v>0</v>
      </c>
      <c r="J71" s="1"/>
      <c r="K71" s="1">
        <v>-1</v>
      </c>
      <c r="L71" s="1"/>
      <c r="M71" s="1" t="s">
        <v>3</v>
      </c>
      <c r="N71" s="1"/>
      <c r="O71" s="1"/>
      <c r="P71" s="1"/>
      <c r="Q71" s="1"/>
      <c r="R71" s="1"/>
      <c r="S71" s="1">
        <v>0</v>
      </c>
      <c r="T71" s="1"/>
      <c r="U71" s="1" t="s">
        <v>3</v>
      </c>
      <c r="V71" s="1">
        <v>0</v>
      </c>
      <c r="W71" s="1"/>
      <c r="X71" s="1"/>
      <c r="Y71" s="1"/>
      <c r="Z71" s="1"/>
      <c r="AA71" s="1"/>
      <c r="AB71" s="1" t="s">
        <v>3</v>
      </c>
      <c r="AC71" s="1" t="s">
        <v>3</v>
      </c>
      <c r="AD71" s="1" t="s">
        <v>3</v>
      </c>
      <c r="AE71" s="1" t="s">
        <v>3</v>
      </c>
      <c r="AF71" s="1" t="s">
        <v>3</v>
      </c>
      <c r="AG71" s="1" t="s">
        <v>3</v>
      </c>
      <c r="AH71" s="1"/>
      <c r="AI71" s="1"/>
      <c r="AJ71" s="1"/>
      <c r="AK71" s="1"/>
      <c r="AL71" s="1"/>
      <c r="AM71" s="1"/>
      <c r="AN71" s="1"/>
      <c r="AO71" s="1"/>
      <c r="AP71" s="1" t="s">
        <v>3</v>
      </c>
      <c r="AQ71" s="1" t="s">
        <v>3</v>
      </c>
      <c r="AR71" s="1" t="s">
        <v>3</v>
      </c>
      <c r="AS71" s="1"/>
      <c r="AT71" s="1"/>
      <c r="AU71" s="1"/>
      <c r="AV71" s="1"/>
      <c r="AW71" s="1"/>
      <c r="AX71" s="1"/>
      <c r="AY71" s="1"/>
      <c r="AZ71" s="1" t="s">
        <v>3</v>
      </c>
      <c r="BA71" s="1"/>
      <c r="BB71" s="1" t="s">
        <v>3</v>
      </c>
      <c r="BC71" s="1" t="s">
        <v>3</v>
      </c>
      <c r="BD71" s="1" t="s">
        <v>3</v>
      </c>
      <c r="BE71" s="1" t="s">
        <v>3</v>
      </c>
      <c r="BF71" s="1" t="s">
        <v>3</v>
      </c>
      <c r="BG71" s="1" t="s">
        <v>3</v>
      </c>
      <c r="BH71" s="1" t="s">
        <v>3</v>
      </c>
      <c r="BI71" s="1" t="s">
        <v>3</v>
      </c>
      <c r="BJ71" s="1" t="s">
        <v>3</v>
      </c>
      <c r="BK71" s="1" t="s">
        <v>3</v>
      </c>
      <c r="BL71" s="1" t="s">
        <v>3</v>
      </c>
      <c r="BM71" s="1" t="s">
        <v>3</v>
      </c>
      <c r="BN71" s="1" t="s">
        <v>3</v>
      </c>
      <c r="BO71" s="1" t="s">
        <v>3</v>
      </c>
      <c r="BP71" s="1" t="s">
        <v>3</v>
      </c>
      <c r="BQ71" s="1"/>
      <c r="BR71" s="1"/>
      <c r="BS71" s="1"/>
      <c r="BT71" s="1"/>
      <c r="BU71" s="1"/>
      <c r="BV71" s="1"/>
      <c r="BW71" s="1"/>
      <c r="BX71" s="1"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>
        <v>0</v>
      </c>
    </row>
    <row r="73" spans="1:245" x14ac:dyDescent="0.2">
      <c r="A73" s="2">
        <v>52</v>
      </c>
      <c r="B73" s="2">
        <f t="shared" ref="B73:G73" si="57">B86</f>
        <v>1</v>
      </c>
      <c r="C73" s="2">
        <f t="shared" si="57"/>
        <v>4</v>
      </c>
      <c r="D73" s="2">
        <f t="shared" si="57"/>
        <v>71</v>
      </c>
      <c r="E73" s="2">
        <f t="shared" si="57"/>
        <v>0</v>
      </c>
      <c r="F73" s="2" t="str">
        <f t="shared" si="57"/>
        <v>Новый раздел</v>
      </c>
      <c r="G73" s="2" t="str">
        <f t="shared" si="57"/>
        <v>Пусконаладочные работы.</v>
      </c>
      <c r="H73" s="2"/>
      <c r="I73" s="2"/>
      <c r="J73" s="2"/>
      <c r="K73" s="2"/>
      <c r="L73" s="2"/>
      <c r="M73" s="2"/>
      <c r="N73" s="2"/>
      <c r="O73" s="2">
        <f t="shared" ref="O73:AT73" si="58">O86</f>
        <v>135813.21</v>
      </c>
      <c r="P73" s="2">
        <f t="shared" si="58"/>
        <v>0</v>
      </c>
      <c r="Q73" s="2">
        <f t="shared" si="58"/>
        <v>0</v>
      </c>
      <c r="R73" s="2">
        <f t="shared" si="58"/>
        <v>0</v>
      </c>
      <c r="S73" s="2">
        <f t="shared" si="58"/>
        <v>135813.21</v>
      </c>
      <c r="T73" s="2">
        <f t="shared" si="58"/>
        <v>0</v>
      </c>
      <c r="U73" s="2">
        <f t="shared" si="58"/>
        <v>352.32599999999996</v>
      </c>
      <c r="V73" s="2">
        <f t="shared" si="58"/>
        <v>0</v>
      </c>
      <c r="W73" s="2">
        <f t="shared" si="58"/>
        <v>0</v>
      </c>
      <c r="X73" s="2">
        <f t="shared" si="58"/>
        <v>92352.97</v>
      </c>
      <c r="Y73" s="2">
        <f t="shared" si="58"/>
        <v>55683.41</v>
      </c>
      <c r="Z73" s="2">
        <f t="shared" si="58"/>
        <v>0</v>
      </c>
      <c r="AA73" s="2">
        <f t="shared" si="58"/>
        <v>0</v>
      </c>
      <c r="AB73" s="2">
        <f t="shared" si="58"/>
        <v>135813.21</v>
      </c>
      <c r="AC73" s="2">
        <f t="shared" si="58"/>
        <v>0</v>
      </c>
      <c r="AD73" s="2">
        <f t="shared" si="58"/>
        <v>0</v>
      </c>
      <c r="AE73" s="2">
        <f t="shared" si="58"/>
        <v>0</v>
      </c>
      <c r="AF73" s="2">
        <f t="shared" si="58"/>
        <v>135813.21</v>
      </c>
      <c r="AG73" s="2">
        <f t="shared" si="58"/>
        <v>0</v>
      </c>
      <c r="AH73" s="2">
        <f t="shared" si="58"/>
        <v>352.32599999999996</v>
      </c>
      <c r="AI73" s="2">
        <f t="shared" si="58"/>
        <v>0</v>
      </c>
      <c r="AJ73" s="2">
        <f t="shared" si="58"/>
        <v>0</v>
      </c>
      <c r="AK73" s="2">
        <f t="shared" si="58"/>
        <v>92352.97</v>
      </c>
      <c r="AL73" s="2">
        <f t="shared" si="58"/>
        <v>55683.41</v>
      </c>
      <c r="AM73" s="2">
        <f t="shared" si="58"/>
        <v>0</v>
      </c>
      <c r="AN73" s="2">
        <f t="shared" si="58"/>
        <v>0</v>
      </c>
      <c r="AO73" s="2">
        <f t="shared" si="58"/>
        <v>0</v>
      </c>
      <c r="AP73" s="2">
        <f t="shared" si="58"/>
        <v>0</v>
      </c>
      <c r="AQ73" s="2">
        <f t="shared" si="58"/>
        <v>0</v>
      </c>
      <c r="AR73" s="2">
        <f t="shared" si="58"/>
        <v>283849.59000000003</v>
      </c>
      <c r="AS73" s="2">
        <f t="shared" si="58"/>
        <v>0</v>
      </c>
      <c r="AT73" s="2">
        <f t="shared" si="58"/>
        <v>0</v>
      </c>
      <c r="AU73" s="2">
        <f t="shared" ref="AU73:BZ73" si="59">AU86</f>
        <v>283849.59000000003</v>
      </c>
      <c r="AV73" s="2">
        <f t="shared" si="59"/>
        <v>0</v>
      </c>
      <c r="AW73" s="2">
        <f t="shared" si="59"/>
        <v>0</v>
      </c>
      <c r="AX73" s="2">
        <f t="shared" si="59"/>
        <v>0</v>
      </c>
      <c r="AY73" s="2">
        <f t="shared" si="59"/>
        <v>0</v>
      </c>
      <c r="AZ73" s="2">
        <f t="shared" si="59"/>
        <v>0</v>
      </c>
      <c r="BA73" s="2">
        <f t="shared" si="59"/>
        <v>0</v>
      </c>
      <c r="BB73" s="2">
        <f t="shared" si="59"/>
        <v>0</v>
      </c>
      <c r="BC73" s="2">
        <f t="shared" si="59"/>
        <v>0</v>
      </c>
      <c r="BD73" s="2">
        <f t="shared" si="59"/>
        <v>0</v>
      </c>
      <c r="BE73" s="2">
        <f t="shared" si="59"/>
        <v>0</v>
      </c>
      <c r="BF73" s="2">
        <f t="shared" si="59"/>
        <v>0</v>
      </c>
      <c r="BG73" s="2">
        <f t="shared" si="59"/>
        <v>0</v>
      </c>
      <c r="BH73" s="2">
        <f t="shared" si="59"/>
        <v>0</v>
      </c>
      <c r="BI73" s="2">
        <f t="shared" si="59"/>
        <v>0</v>
      </c>
      <c r="BJ73" s="2">
        <f t="shared" si="59"/>
        <v>0</v>
      </c>
      <c r="BK73" s="2">
        <f t="shared" si="59"/>
        <v>0</v>
      </c>
      <c r="BL73" s="2">
        <f t="shared" si="59"/>
        <v>0</v>
      </c>
      <c r="BM73" s="2">
        <f t="shared" si="59"/>
        <v>0</v>
      </c>
      <c r="BN73" s="2">
        <f t="shared" si="59"/>
        <v>0</v>
      </c>
      <c r="BO73" s="2">
        <f t="shared" si="59"/>
        <v>0</v>
      </c>
      <c r="BP73" s="2">
        <f t="shared" si="59"/>
        <v>0</v>
      </c>
      <c r="BQ73" s="2">
        <f t="shared" si="59"/>
        <v>0</v>
      </c>
      <c r="BR73" s="2">
        <f t="shared" si="59"/>
        <v>0</v>
      </c>
      <c r="BS73" s="2">
        <f t="shared" si="59"/>
        <v>0</v>
      </c>
      <c r="BT73" s="2">
        <f t="shared" si="59"/>
        <v>0</v>
      </c>
      <c r="BU73" s="2">
        <f t="shared" si="59"/>
        <v>0</v>
      </c>
      <c r="BV73" s="2">
        <f t="shared" si="59"/>
        <v>0</v>
      </c>
      <c r="BW73" s="2">
        <f t="shared" si="59"/>
        <v>0</v>
      </c>
      <c r="BX73" s="2">
        <f t="shared" si="59"/>
        <v>0</v>
      </c>
      <c r="BY73" s="2">
        <f t="shared" si="59"/>
        <v>0</v>
      </c>
      <c r="BZ73" s="2">
        <f t="shared" si="59"/>
        <v>0</v>
      </c>
      <c r="CA73" s="2">
        <f t="shared" ref="CA73:DF73" si="60">CA86</f>
        <v>283849.59000000003</v>
      </c>
      <c r="CB73" s="2">
        <f t="shared" si="60"/>
        <v>0</v>
      </c>
      <c r="CC73" s="2">
        <f t="shared" si="60"/>
        <v>0</v>
      </c>
      <c r="CD73" s="2">
        <f t="shared" si="60"/>
        <v>283849.59000000003</v>
      </c>
      <c r="CE73" s="2">
        <f t="shared" si="60"/>
        <v>0</v>
      </c>
      <c r="CF73" s="2">
        <f t="shared" si="60"/>
        <v>0</v>
      </c>
      <c r="CG73" s="2">
        <f t="shared" si="60"/>
        <v>0</v>
      </c>
      <c r="CH73" s="2">
        <f t="shared" si="60"/>
        <v>0</v>
      </c>
      <c r="CI73" s="2">
        <f t="shared" si="60"/>
        <v>0</v>
      </c>
      <c r="CJ73" s="2">
        <f t="shared" si="60"/>
        <v>0</v>
      </c>
      <c r="CK73" s="2">
        <f t="shared" si="60"/>
        <v>0</v>
      </c>
      <c r="CL73" s="2">
        <f t="shared" si="60"/>
        <v>0</v>
      </c>
      <c r="CM73" s="2">
        <f t="shared" si="60"/>
        <v>0</v>
      </c>
      <c r="CN73" s="2">
        <f t="shared" si="60"/>
        <v>0</v>
      </c>
      <c r="CO73" s="2">
        <f t="shared" si="60"/>
        <v>0</v>
      </c>
      <c r="CP73" s="2">
        <f t="shared" si="60"/>
        <v>0</v>
      </c>
      <c r="CQ73" s="2">
        <f t="shared" si="60"/>
        <v>0</v>
      </c>
      <c r="CR73" s="2">
        <f t="shared" si="60"/>
        <v>0</v>
      </c>
      <c r="CS73" s="2">
        <f t="shared" si="60"/>
        <v>0</v>
      </c>
      <c r="CT73" s="2">
        <f t="shared" si="60"/>
        <v>0</v>
      </c>
      <c r="CU73" s="2">
        <f t="shared" si="60"/>
        <v>0</v>
      </c>
      <c r="CV73" s="2">
        <f t="shared" si="60"/>
        <v>0</v>
      </c>
      <c r="CW73" s="2">
        <f t="shared" si="60"/>
        <v>0</v>
      </c>
      <c r="CX73" s="2">
        <f t="shared" si="60"/>
        <v>0</v>
      </c>
      <c r="CY73" s="2">
        <f t="shared" si="60"/>
        <v>0</v>
      </c>
      <c r="CZ73" s="2">
        <f t="shared" si="60"/>
        <v>0</v>
      </c>
      <c r="DA73" s="2">
        <f t="shared" si="60"/>
        <v>0</v>
      </c>
      <c r="DB73" s="2">
        <f t="shared" si="60"/>
        <v>0</v>
      </c>
      <c r="DC73" s="2">
        <f t="shared" si="60"/>
        <v>0</v>
      </c>
      <c r="DD73" s="2">
        <f t="shared" si="60"/>
        <v>0</v>
      </c>
      <c r="DE73" s="2">
        <f t="shared" si="60"/>
        <v>0</v>
      </c>
      <c r="DF73" s="2">
        <f t="shared" si="60"/>
        <v>0</v>
      </c>
      <c r="DG73" s="3">
        <f t="shared" ref="DG73:EL73" si="61">DG86</f>
        <v>0</v>
      </c>
      <c r="DH73" s="3">
        <f t="shared" si="61"/>
        <v>0</v>
      </c>
      <c r="DI73" s="3">
        <f t="shared" si="61"/>
        <v>0</v>
      </c>
      <c r="DJ73" s="3">
        <f t="shared" si="61"/>
        <v>0</v>
      </c>
      <c r="DK73" s="3">
        <f t="shared" si="61"/>
        <v>0</v>
      </c>
      <c r="DL73" s="3">
        <f t="shared" si="61"/>
        <v>0</v>
      </c>
      <c r="DM73" s="3">
        <f t="shared" si="61"/>
        <v>0</v>
      </c>
      <c r="DN73" s="3">
        <f t="shared" si="61"/>
        <v>0</v>
      </c>
      <c r="DO73" s="3">
        <f t="shared" si="61"/>
        <v>0</v>
      </c>
      <c r="DP73" s="3">
        <f t="shared" si="61"/>
        <v>0</v>
      </c>
      <c r="DQ73" s="3">
        <f t="shared" si="61"/>
        <v>0</v>
      </c>
      <c r="DR73" s="3">
        <f t="shared" si="61"/>
        <v>0</v>
      </c>
      <c r="DS73" s="3">
        <f t="shared" si="61"/>
        <v>0</v>
      </c>
      <c r="DT73" s="3">
        <f t="shared" si="61"/>
        <v>0</v>
      </c>
      <c r="DU73" s="3">
        <f t="shared" si="61"/>
        <v>0</v>
      </c>
      <c r="DV73" s="3">
        <f t="shared" si="61"/>
        <v>0</v>
      </c>
      <c r="DW73" s="3">
        <f t="shared" si="61"/>
        <v>0</v>
      </c>
      <c r="DX73" s="3">
        <f t="shared" si="61"/>
        <v>0</v>
      </c>
      <c r="DY73" s="3">
        <f t="shared" si="61"/>
        <v>0</v>
      </c>
      <c r="DZ73" s="3">
        <f t="shared" si="61"/>
        <v>0</v>
      </c>
      <c r="EA73" s="3">
        <f t="shared" si="61"/>
        <v>0</v>
      </c>
      <c r="EB73" s="3">
        <f t="shared" si="61"/>
        <v>0</v>
      </c>
      <c r="EC73" s="3">
        <f t="shared" si="61"/>
        <v>0</v>
      </c>
      <c r="ED73" s="3">
        <f t="shared" si="61"/>
        <v>0</v>
      </c>
      <c r="EE73" s="3">
        <f t="shared" si="61"/>
        <v>0</v>
      </c>
      <c r="EF73" s="3">
        <f t="shared" si="61"/>
        <v>0</v>
      </c>
      <c r="EG73" s="3">
        <f t="shared" si="61"/>
        <v>0</v>
      </c>
      <c r="EH73" s="3">
        <f t="shared" si="61"/>
        <v>0</v>
      </c>
      <c r="EI73" s="3">
        <f t="shared" si="61"/>
        <v>0</v>
      </c>
      <c r="EJ73" s="3">
        <f t="shared" si="61"/>
        <v>0</v>
      </c>
      <c r="EK73" s="3">
        <f t="shared" si="61"/>
        <v>0</v>
      </c>
      <c r="EL73" s="3">
        <f t="shared" si="61"/>
        <v>0</v>
      </c>
      <c r="EM73" s="3">
        <f t="shared" ref="EM73:FR73" si="62">EM86</f>
        <v>0</v>
      </c>
      <c r="EN73" s="3">
        <f t="shared" si="62"/>
        <v>0</v>
      </c>
      <c r="EO73" s="3">
        <f t="shared" si="62"/>
        <v>0</v>
      </c>
      <c r="EP73" s="3">
        <f t="shared" si="62"/>
        <v>0</v>
      </c>
      <c r="EQ73" s="3">
        <f t="shared" si="62"/>
        <v>0</v>
      </c>
      <c r="ER73" s="3">
        <f t="shared" si="62"/>
        <v>0</v>
      </c>
      <c r="ES73" s="3">
        <f t="shared" si="62"/>
        <v>0</v>
      </c>
      <c r="ET73" s="3">
        <f t="shared" si="62"/>
        <v>0</v>
      </c>
      <c r="EU73" s="3">
        <f t="shared" si="62"/>
        <v>0</v>
      </c>
      <c r="EV73" s="3">
        <f t="shared" si="62"/>
        <v>0</v>
      </c>
      <c r="EW73" s="3">
        <f t="shared" si="62"/>
        <v>0</v>
      </c>
      <c r="EX73" s="3">
        <f t="shared" si="62"/>
        <v>0</v>
      </c>
      <c r="EY73" s="3">
        <f t="shared" si="62"/>
        <v>0</v>
      </c>
      <c r="EZ73" s="3">
        <f t="shared" si="62"/>
        <v>0</v>
      </c>
      <c r="FA73" s="3">
        <f t="shared" si="62"/>
        <v>0</v>
      </c>
      <c r="FB73" s="3">
        <f t="shared" si="62"/>
        <v>0</v>
      </c>
      <c r="FC73" s="3">
        <f t="shared" si="62"/>
        <v>0</v>
      </c>
      <c r="FD73" s="3">
        <f t="shared" si="62"/>
        <v>0</v>
      </c>
      <c r="FE73" s="3">
        <f t="shared" si="62"/>
        <v>0</v>
      </c>
      <c r="FF73" s="3">
        <f t="shared" si="62"/>
        <v>0</v>
      </c>
      <c r="FG73" s="3">
        <f t="shared" si="62"/>
        <v>0</v>
      </c>
      <c r="FH73" s="3">
        <f t="shared" si="62"/>
        <v>0</v>
      </c>
      <c r="FI73" s="3">
        <f t="shared" si="62"/>
        <v>0</v>
      </c>
      <c r="FJ73" s="3">
        <f t="shared" si="62"/>
        <v>0</v>
      </c>
      <c r="FK73" s="3">
        <f t="shared" si="62"/>
        <v>0</v>
      </c>
      <c r="FL73" s="3">
        <f t="shared" si="62"/>
        <v>0</v>
      </c>
      <c r="FM73" s="3">
        <f t="shared" si="62"/>
        <v>0</v>
      </c>
      <c r="FN73" s="3">
        <f t="shared" si="62"/>
        <v>0</v>
      </c>
      <c r="FO73" s="3">
        <f t="shared" si="62"/>
        <v>0</v>
      </c>
      <c r="FP73" s="3">
        <f t="shared" si="62"/>
        <v>0</v>
      </c>
      <c r="FQ73" s="3">
        <f t="shared" si="62"/>
        <v>0</v>
      </c>
      <c r="FR73" s="3">
        <f t="shared" si="62"/>
        <v>0</v>
      </c>
      <c r="FS73" s="3">
        <f t="shared" ref="FS73:GX73" si="63">FS86</f>
        <v>0</v>
      </c>
      <c r="FT73" s="3">
        <f t="shared" si="63"/>
        <v>0</v>
      </c>
      <c r="FU73" s="3">
        <f t="shared" si="63"/>
        <v>0</v>
      </c>
      <c r="FV73" s="3">
        <f t="shared" si="63"/>
        <v>0</v>
      </c>
      <c r="FW73" s="3">
        <f t="shared" si="63"/>
        <v>0</v>
      </c>
      <c r="FX73" s="3">
        <f t="shared" si="63"/>
        <v>0</v>
      </c>
      <c r="FY73" s="3">
        <f t="shared" si="63"/>
        <v>0</v>
      </c>
      <c r="FZ73" s="3">
        <f t="shared" si="63"/>
        <v>0</v>
      </c>
      <c r="GA73" s="3">
        <f t="shared" si="63"/>
        <v>0</v>
      </c>
      <c r="GB73" s="3">
        <f t="shared" si="63"/>
        <v>0</v>
      </c>
      <c r="GC73" s="3">
        <f t="shared" si="63"/>
        <v>0</v>
      </c>
      <c r="GD73" s="3">
        <f t="shared" si="63"/>
        <v>0</v>
      </c>
      <c r="GE73" s="3">
        <f t="shared" si="63"/>
        <v>0</v>
      </c>
      <c r="GF73" s="3">
        <f t="shared" si="63"/>
        <v>0</v>
      </c>
      <c r="GG73" s="3">
        <f t="shared" si="63"/>
        <v>0</v>
      </c>
      <c r="GH73" s="3">
        <f t="shared" si="63"/>
        <v>0</v>
      </c>
      <c r="GI73" s="3">
        <f t="shared" si="63"/>
        <v>0</v>
      </c>
      <c r="GJ73" s="3">
        <f t="shared" si="63"/>
        <v>0</v>
      </c>
      <c r="GK73" s="3">
        <f t="shared" si="63"/>
        <v>0</v>
      </c>
      <c r="GL73" s="3">
        <f t="shared" si="63"/>
        <v>0</v>
      </c>
      <c r="GM73" s="3">
        <f t="shared" si="63"/>
        <v>0</v>
      </c>
      <c r="GN73" s="3">
        <f t="shared" si="63"/>
        <v>0</v>
      </c>
      <c r="GO73" s="3">
        <f t="shared" si="63"/>
        <v>0</v>
      </c>
      <c r="GP73" s="3">
        <f t="shared" si="63"/>
        <v>0</v>
      </c>
      <c r="GQ73" s="3">
        <f t="shared" si="63"/>
        <v>0</v>
      </c>
      <c r="GR73" s="3">
        <f t="shared" si="63"/>
        <v>0</v>
      </c>
      <c r="GS73" s="3">
        <f t="shared" si="63"/>
        <v>0</v>
      </c>
      <c r="GT73" s="3">
        <f t="shared" si="63"/>
        <v>0</v>
      </c>
      <c r="GU73" s="3">
        <f t="shared" si="63"/>
        <v>0</v>
      </c>
      <c r="GV73" s="3">
        <f t="shared" si="63"/>
        <v>0</v>
      </c>
      <c r="GW73" s="3">
        <f t="shared" si="63"/>
        <v>0</v>
      </c>
      <c r="GX73" s="3">
        <f t="shared" si="63"/>
        <v>0</v>
      </c>
    </row>
    <row r="75" spans="1:245" x14ac:dyDescent="0.2">
      <c r="A75">
        <v>17</v>
      </c>
      <c r="B75">
        <v>1</v>
      </c>
      <c r="E75" t="s">
        <v>142</v>
      </c>
      <c r="F75" t="s">
        <v>143</v>
      </c>
      <c r="G75" t="s">
        <v>144</v>
      </c>
      <c r="H75" t="s">
        <v>36</v>
      </c>
      <c r="I75">
        <v>19</v>
      </c>
      <c r="J75">
        <v>0</v>
      </c>
      <c r="O75">
        <f t="shared" ref="O75:O84" si="64">ROUND(CP75,2)</f>
        <v>53096.68</v>
      </c>
      <c r="P75">
        <f t="shared" ref="P75:P84" si="65">ROUND((ROUND((AC75*AW75*I75),2)*BC75),2)</f>
        <v>0</v>
      </c>
      <c r="Q75">
        <f t="shared" ref="Q75:Q84" si="66">(ROUND((ROUND(((ET75)*AV75*I75),2)*BB75),2)+ROUND((ROUND(((AE75-(EU75))*AV75*I75),2)*BS75),2))</f>
        <v>0</v>
      </c>
      <c r="R75">
        <f t="shared" ref="R75:R84" si="67">ROUND((ROUND((AE75*AV75*I75),2)*BS75),2)</f>
        <v>0</v>
      </c>
      <c r="S75">
        <f t="shared" ref="S75:S84" si="68">ROUND((ROUND((AF75*AV75*I75),2)*BA75),2)</f>
        <v>53096.68</v>
      </c>
      <c r="T75">
        <f t="shared" ref="T75:T84" si="69">ROUND(CU75*I75,2)</f>
        <v>0</v>
      </c>
      <c r="U75">
        <f t="shared" ref="U75:U84" si="70">CV75*I75</f>
        <v>133.38</v>
      </c>
      <c r="V75">
        <f t="shared" ref="V75:V84" si="71">CW75*I75</f>
        <v>0</v>
      </c>
      <c r="W75">
        <f t="shared" ref="W75:W84" si="72">ROUND(CX75*I75,2)</f>
        <v>0</v>
      </c>
      <c r="X75">
        <f t="shared" ref="X75:X84" si="73">ROUND(CY75,2)</f>
        <v>36105.74</v>
      </c>
      <c r="Y75">
        <f t="shared" ref="Y75:Y84" si="74">ROUND(CZ75,2)</f>
        <v>21769.64</v>
      </c>
      <c r="AA75">
        <v>23440596</v>
      </c>
      <c r="AB75">
        <f t="shared" ref="AB75:AB84" si="75">ROUND((AC75+AD75+AF75),6)</f>
        <v>112.593</v>
      </c>
      <c r="AC75">
        <f t="shared" ref="AC75:AC84" si="76">ROUND((ES75),6)</f>
        <v>0</v>
      </c>
      <c r="AD75">
        <f t="shared" ref="AD75:AD84" si="77">ROUND((((ET75)-(EU75))+AE75),6)</f>
        <v>0</v>
      </c>
      <c r="AE75">
        <f t="shared" ref="AE75:AE84" si="78">ROUND((EU75),6)</f>
        <v>0</v>
      </c>
      <c r="AF75">
        <f t="shared" ref="AF75:AF84" si="79">ROUND(((EV75*1.3)),6)</f>
        <v>112.593</v>
      </c>
      <c r="AG75">
        <f t="shared" ref="AG75:AG84" si="80">ROUND((AP75),6)</f>
        <v>0</v>
      </c>
      <c r="AH75">
        <f t="shared" ref="AH75:AH84" si="81">((EW75*1.3))</f>
        <v>7.0200000000000005</v>
      </c>
      <c r="AI75">
        <f t="shared" ref="AI75:AI84" si="82">(EX75)</f>
        <v>0</v>
      </c>
      <c r="AJ75">
        <f t="shared" ref="AJ75:AJ84" si="83">(AS75)</f>
        <v>0</v>
      </c>
      <c r="AK75">
        <v>86.61</v>
      </c>
      <c r="AL75">
        <v>0</v>
      </c>
      <c r="AM75">
        <v>0</v>
      </c>
      <c r="AN75">
        <v>0</v>
      </c>
      <c r="AO75">
        <v>86.61</v>
      </c>
      <c r="AP75">
        <v>0</v>
      </c>
      <c r="AQ75">
        <v>5.4</v>
      </c>
      <c r="AR75">
        <v>0</v>
      </c>
      <c r="AS75">
        <v>0</v>
      </c>
      <c r="AT75">
        <v>68</v>
      </c>
      <c r="AU75">
        <v>41</v>
      </c>
      <c r="AV75">
        <v>1</v>
      </c>
      <c r="AW75">
        <v>1</v>
      </c>
      <c r="AZ75">
        <v>1</v>
      </c>
      <c r="BA75">
        <v>24.82</v>
      </c>
      <c r="BB75">
        <v>1</v>
      </c>
      <c r="BC75">
        <v>1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4</v>
      </c>
      <c r="BJ75" t="s">
        <v>145</v>
      </c>
      <c r="BM75">
        <v>381</v>
      </c>
      <c r="BN75">
        <v>0</v>
      </c>
      <c r="BO75" t="s">
        <v>3</v>
      </c>
      <c r="BP75">
        <v>0</v>
      </c>
      <c r="BQ75">
        <v>50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68</v>
      </c>
      <c r="CA75">
        <v>41</v>
      </c>
      <c r="CE75">
        <v>30</v>
      </c>
      <c r="CF75">
        <v>0</v>
      </c>
      <c r="CG75">
        <v>0</v>
      </c>
      <c r="CM75">
        <v>0</v>
      </c>
      <c r="CN75" t="s">
        <v>146</v>
      </c>
      <c r="CO75">
        <v>0</v>
      </c>
      <c r="CP75">
        <f t="shared" ref="CP75:CP84" si="84">(P75+Q75+S75)</f>
        <v>53096.68</v>
      </c>
      <c r="CQ75">
        <f t="shared" ref="CQ75:CQ84" si="85">ROUND((ROUND((AC75*AW75*1),2)*BC75),2)</f>
        <v>0</v>
      </c>
      <c r="CR75">
        <f t="shared" ref="CR75:CR84" si="86">(ROUND((ROUND(((ET75)*AV75*1),2)*BB75),2)+ROUND((ROUND(((AE75-(EU75))*AV75*1),2)*BS75),2))</f>
        <v>0</v>
      </c>
      <c r="CS75">
        <f t="shared" ref="CS75:CS84" si="87">ROUND((ROUND((AE75*AV75*1),2)*BS75),2)</f>
        <v>0</v>
      </c>
      <c r="CT75">
        <f t="shared" ref="CT75:CT84" si="88">ROUND((ROUND((AF75*AV75*1),2)*BA75),2)</f>
        <v>2794.48</v>
      </c>
      <c r="CU75">
        <f t="shared" ref="CU75:CU84" si="89">AG75</f>
        <v>0</v>
      </c>
      <c r="CV75">
        <f t="shared" ref="CV75:CV84" si="90">(AH75*AV75)</f>
        <v>7.0200000000000005</v>
      </c>
      <c r="CW75">
        <f t="shared" ref="CW75:CW84" si="91">AI75</f>
        <v>0</v>
      </c>
      <c r="CX75">
        <f t="shared" ref="CX75:CX84" si="92">AJ75</f>
        <v>0</v>
      </c>
      <c r="CY75">
        <f t="shared" ref="CY75:CY84" si="93">S75*(BZ75/100)</f>
        <v>36105.742400000003</v>
      </c>
      <c r="CZ75">
        <f t="shared" ref="CZ75:CZ84" si="94">S75*(CA75/100)</f>
        <v>21769.638800000001</v>
      </c>
      <c r="DC75" t="s">
        <v>3</v>
      </c>
      <c r="DD75" t="s">
        <v>3</v>
      </c>
      <c r="DE75" t="s">
        <v>3</v>
      </c>
      <c r="DF75" t="s">
        <v>3</v>
      </c>
      <c r="DG75" t="s">
        <v>147</v>
      </c>
      <c r="DH75" t="s">
        <v>3</v>
      </c>
      <c r="DI75" t="s">
        <v>147</v>
      </c>
      <c r="DJ75" t="s">
        <v>3</v>
      </c>
      <c r="DK75" t="s">
        <v>3</v>
      </c>
      <c r="DL75" t="s">
        <v>3</v>
      </c>
      <c r="DM75" t="s">
        <v>3</v>
      </c>
      <c r="DN75">
        <v>75</v>
      </c>
      <c r="DO75">
        <v>70</v>
      </c>
      <c r="DP75">
        <v>1</v>
      </c>
      <c r="DQ75">
        <v>1</v>
      </c>
      <c r="DU75">
        <v>1010</v>
      </c>
      <c r="DV75" t="s">
        <v>36</v>
      </c>
      <c r="DW75" t="s">
        <v>36</v>
      </c>
      <c r="DX75">
        <v>1</v>
      </c>
      <c r="DZ75" t="s">
        <v>3</v>
      </c>
      <c r="EA75" t="s">
        <v>3</v>
      </c>
      <c r="EB75" t="s">
        <v>3</v>
      </c>
      <c r="EC75" t="s">
        <v>3</v>
      </c>
      <c r="EE75">
        <v>22827222</v>
      </c>
      <c r="EF75">
        <v>50</v>
      </c>
      <c r="EG75" t="s">
        <v>148</v>
      </c>
      <c r="EH75">
        <v>0</v>
      </c>
      <c r="EI75" t="s">
        <v>3</v>
      </c>
      <c r="EJ75">
        <v>4</v>
      </c>
      <c r="EK75">
        <v>381</v>
      </c>
      <c r="EL75" t="s">
        <v>149</v>
      </c>
      <c r="EM75" t="s">
        <v>150</v>
      </c>
      <c r="EO75" t="s">
        <v>151</v>
      </c>
      <c r="EQ75">
        <v>0</v>
      </c>
      <c r="ER75">
        <v>86.61</v>
      </c>
      <c r="ES75">
        <v>0</v>
      </c>
      <c r="ET75">
        <v>0</v>
      </c>
      <c r="EU75">
        <v>0</v>
      </c>
      <c r="EV75">
        <v>86.61</v>
      </c>
      <c r="EW75">
        <v>5.4</v>
      </c>
      <c r="EX75">
        <v>0</v>
      </c>
      <c r="EY75">
        <v>0</v>
      </c>
      <c r="FQ75">
        <v>0</v>
      </c>
      <c r="FR75">
        <f t="shared" ref="FR75:FR84" si="95">ROUND(IF(AND(BH75=3,BI75=3),P75,0),2)</f>
        <v>0</v>
      </c>
      <c r="FS75">
        <v>0</v>
      </c>
      <c r="FX75">
        <v>75</v>
      </c>
      <c r="FY75">
        <v>70</v>
      </c>
      <c r="GA75" t="s">
        <v>3</v>
      </c>
      <c r="GD75">
        <v>0</v>
      </c>
      <c r="GF75">
        <v>-219381348</v>
      </c>
      <c r="GG75">
        <v>2</v>
      </c>
      <c r="GH75">
        <v>1</v>
      </c>
      <c r="GI75">
        <v>2</v>
      </c>
      <c r="GJ75">
        <v>0</v>
      </c>
      <c r="GK75">
        <f>ROUND(R75*(R12)/100,2)</f>
        <v>0</v>
      </c>
      <c r="GL75">
        <f t="shared" ref="GL75:GL84" si="96">ROUND(IF(AND(BH75=3,BI75=3,FS75&lt;&gt;0),P75,0),2)</f>
        <v>0</v>
      </c>
      <c r="GM75">
        <f t="shared" ref="GM75:GM84" si="97">ROUND(O75+X75+Y75+GK75,2)+GX75</f>
        <v>110972.06</v>
      </c>
      <c r="GN75">
        <f t="shared" ref="GN75:GN84" si="98">IF(OR(BI75=0,BI75=1),ROUND(O75+X75+Y75+GK75,2),0)</f>
        <v>0</v>
      </c>
      <c r="GO75">
        <f t="shared" ref="GO75:GO84" si="99">IF(BI75=2,ROUND(O75+X75+Y75+GK75,2),0)</f>
        <v>0</v>
      </c>
      <c r="GP75">
        <f t="shared" ref="GP75:GP84" si="100">IF(BI75=4,ROUND(O75+X75+Y75+GK75,2)+GX75,0)</f>
        <v>110972.06</v>
      </c>
      <c r="GR75">
        <v>0</v>
      </c>
      <c r="GS75">
        <v>0</v>
      </c>
      <c r="GT75">
        <v>0</v>
      </c>
      <c r="GU75" t="s">
        <v>3</v>
      </c>
      <c r="GV75">
        <f t="shared" ref="GV75:GV84" si="101">ROUND((GT75),6)</f>
        <v>0</v>
      </c>
      <c r="GW75">
        <v>1</v>
      </c>
      <c r="GX75">
        <f t="shared" ref="GX75:GX84" si="102">ROUND(HC75*I75,2)</f>
        <v>0</v>
      </c>
      <c r="HA75">
        <v>0</v>
      </c>
      <c r="HB75">
        <v>0</v>
      </c>
      <c r="HC75">
        <f t="shared" ref="HC75:HC84" si="103">GV75*GW75</f>
        <v>0</v>
      </c>
      <c r="HE75" t="s">
        <v>3</v>
      </c>
      <c r="HF75" t="s">
        <v>3</v>
      </c>
      <c r="IK75">
        <v>0</v>
      </c>
    </row>
    <row r="76" spans="1:245" x14ac:dyDescent="0.2">
      <c r="A76">
        <v>17</v>
      </c>
      <c r="B76">
        <v>1</v>
      </c>
      <c r="E76" t="s">
        <v>152</v>
      </c>
      <c r="F76" t="s">
        <v>153</v>
      </c>
      <c r="G76" t="s">
        <v>154</v>
      </c>
      <c r="H76" t="s">
        <v>36</v>
      </c>
      <c r="I76">
        <v>2</v>
      </c>
      <c r="J76">
        <v>0</v>
      </c>
      <c r="O76">
        <f t="shared" si="64"/>
        <v>3572.59</v>
      </c>
      <c r="P76">
        <f t="shared" si="65"/>
        <v>0</v>
      </c>
      <c r="Q76">
        <f t="shared" si="66"/>
        <v>0</v>
      </c>
      <c r="R76">
        <f t="shared" si="67"/>
        <v>0</v>
      </c>
      <c r="S76">
        <f t="shared" si="68"/>
        <v>3572.59</v>
      </c>
      <c r="T76">
        <f t="shared" si="69"/>
        <v>0</v>
      </c>
      <c r="U76">
        <f t="shared" si="70"/>
        <v>11.700000000000001</v>
      </c>
      <c r="V76">
        <f t="shared" si="71"/>
        <v>0</v>
      </c>
      <c r="W76">
        <f t="shared" si="72"/>
        <v>0</v>
      </c>
      <c r="X76">
        <f t="shared" si="73"/>
        <v>2429.36</v>
      </c>
      <c r="Y76">
        <f t="shared" si="74"/>
        <v>1464.76</v>
      </c>
      <c r="AA76">
        <v>23440596</v>
      </c>
      <c r="AB76">
        <f t="shared" si="75"/>
        <v>71.968000000000004</v>
      </c>
      <c r="AC76">
        <f t="shared" si="76"/>
        <v>0</v>
      </c>
      <c r="AD76">
        <f t="shared" si="77"/>
        <v>0</v>
      </c>
      <c r="AE76">
        <f t="shared" si="78"/>
        <v>0</v>
      </c>
      <c r="AF76">
        <f t="shared" si="79"/>
        <v>71.968000000000004</v>
      </c>
      <c r="AG76">
        <f t="shared" si="80"/>
        <v>0</v>
      </c>
      <c r="AH76">
        <f t="shared" si="81"/>
        <v>5.8500000000000005</v>
      </c>
      <c r="AI76">
        <f t="shared" si="82"/>
        <v>0</v>
      </c>
      <c r="AJ76">
        <f t="shared" si="83"/>
        <v>0</v>
      </c>
      <c r="AK76">
        <v>55.36</v>
      </c>
      <c r="AL76">
        <v>0</v>
      </c>
      <c r="AM76">
        <v>0</v>
      </c>
      <c r="AN76">
        <v>0</v>
      </c>
      <c r="AO76">
        <v>55.36</v>
      </c>
      <c r="AP76">
        <v>0</v>
      </c>
      <c r="AQ76">
        <v>4.5</v>
      </c>
      <c r="AR76">
        <v>0</v>
      </c>
      <c r="AS76">
        <v>0</v>
      </c>
      <c r="AT76">
        <v>68</v>
      </c>
      <c r="AU76">
        <v>41</v>
      </c>
      <c r="AV76">
        <v>1</v>
      </c>
      <c r="AW76">
        <v>1</v>
      </c>
      <c r="AZ76">
        <v>1</v>
      </c>
      <c r="BA76">
        <v>24.82</v>
      </c>
      <c r="BB76">
        <v>1</v>
      </c>
      <c r="BC76">
        <v>1</v>
      </c>
      <c r="BD76" t="s">
        <v>3</v>
      </c>
      <c r="BE76" t="s">
        <v>3</v>
      </c>
      <c r="BF76" t="s">
        <v>3</v>
      </c>
      <c r="BG76" t="s">
        <v>3</v>
      </c>
      <c r="BH76">
        <v>0</v>
      </c>
      <c r="BI76">
        <v>4</v>
      </c>
      <c r="BJ76" t="s">
        <v>155</v>
      </c>
      <c r="BM76">
        <v>381</v>
      </c>
      <c r="BN76">
        <v>0</v>
      </c>
      <c r="BO76" t="s">
        <v>3</v>
      </c>
      <c r="BP76">
        <v>0</v>
      </c>
      <c r="BQ76">
        <v>50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68</v>
      </c>
      <c r="CA76">
        <v>41</v>
      </c>
      <c r="CE76">
        <v>30</v>
      </c>
      <c r="CF76">
        <v>0</v>
      </c>
      <c r="CG76">
        <v>0</v>
      </c>
      <c r="CM76">
        <v>0</v>
      </c>
      <c r="CN76" t="s">
        <v>146</v>
      </c>
      <c r="CO76">
        <v>0</v>
      </c>
      <c r="CP76">
        <f t="shared" si="84"/>
        <v>3572.59</v>
      </c>
      <c r="CQ76">
        <f t="shared" si="85"/>
        <v>0</v>
      </c>
      <c r="CR76">
        <f t="shared" si="86"/>
        <v>0</v>
      </c>
      <c r="CS76">
        <f t="shared" si="87"/>
        <v>0</v>
      </c>
      <c r="CT76">
        <f t="shared" si="88"/>
        <v>1786.3</v>
      </c>
      <c r="CU76">
        <f t="shared" si="89"/>
        <v>0</v>
      </c>
      <c r="CV76">
        <f t="shared" si="90"/>
        <v>5.8500000000000005</v>
      </c>
      <c r="CW76">
        <f t="shared" si="91"/>
        <v>0</v>
      </c>
      <c r="CX76">
        <f t="shared" si="92"/>
        <v>0</v>
      </c>
      <c r="CY76">
        <f t="shared" si="93"/>
        <v>2429.3612000000003</v>
      </c>
      <c r="CZ76">
        <f t="shared" si="94"/>
        <v>1464.7619</v>
      </c>
      <c r="DC76" t="s">
        <v>3</v>
      </c>
      <c r="DD76" t="s">
        <v>3</v>
      </c>
      <c r="DE76" t="s">
        <v>3</v>
      </c>
      <c r="DF76" t="s">
        <v>3</v>
      </c>
      <c r="DG76" t="s">
        <v>147</v>
      </c>
      <c r="DH76" t="s">
        <v>3</v>
      </c>
      <c r="DI76" t="s">
        <v>147</v>
      </c>
      <c r="DJ76" t="s">
        <v>3</v>
      </c>
      <c r="DK76" t="s">
        <v>3</v>
      </c>
      <c r="DL76" t="s">
        <v>3</v>
      </c>
      <c r="DM76" t="s">
        <v>3</v>
      </c>
      <c r="DN76">
        <v>75</v>
      </c>
      <c r="DO76">
        <v>70</v>
      </c>
      <c r="DP76">
        <v>1</v>
      </c>
      <c r="DQ76">
        <v>1</v>
      </c>
      <c r="DU76">
        <v>1010</v>
      </c>
      <c r="DV76" t="s">
        <v>36</v>
      </c>
      <c r="DW76" t="s">
        <v>36</v>
      </c>
      <c r="DX76">
        <v>1</v>
      </c>
      <c r="DZ76" t="s">
        <v>3</v>
      </c>
      <c r="EA76" t="s">
        <v>3</v>
      </c>
      <c r="EB76" t="s">
        <v>3</v>
      </c>
      <c r="EC76" t="s">
        <v>3</v>
      </c>
      <c r="EE76">
        <v>22827222</v>
      </c>
      <c r="EF76">
        <v>50</v>
      </c>
      <c r="EG76" t="s">
        <v>148</v>
      </c>
      <c r="EH76">
        <v>0</v>
      </c>
      <c r="EI76" t="s">
        <v>3</v>
      </c>
      <c r="EJ76">
        <v>4</v>
      </c>
      <c r="EK76">
        <v>381</v>
      </c>
      <c r="EL76" t="s">
        <v>149</v>
      </c>
      <c r="EM76" t="s">
        <v>150</v>
      </c>
      <c r="EO76" t="s">
        <v>151</v>
      </c>
      <c r="EQ76">
        <v>0</v>
      </c>
      <c r="ER76">
        <v>55.36</v>
      </c>
      <c r="ES76">
        <v>0</v>
      </c>
      <c r="ET76">
        <v>0</v>
      </c>
      <c r="EU76">
        <v>0</v>
      </c>
      <c r="EV76">
        <v>55.36</v>
      </c>
      <c r="EW76">
        <v>4.5</v>
      </c>
      <c r="EX76">
        <v>0</v>
      </c>
      <c r="EY76">
        <v>0</v>
      </c>
      <c r="FQ76">
        <v>0</v>
      </c>
      <c r="FR76">
        <f t="shared" si="95"/>
        <v>0</v>
      </c>
      <c r="FS76">
        <v>0</v>
      </c>
      <c r="FX76">
        <v>75</v>
      </c>
      <c r="FY76">
        <v>70</v>
      </c>
      <c r="GA76" t="s">
        <v>3</v>
      </c>
      <c r="GD76">
        <v>0</v>
      </c>
      <c r="GF76">
        <v>-943635207</v>
      </c>
      <c r="GG76">
        <v>2</v>
      </c>
      <c r="GH76">
        <v>1</v>
      </c>
      <c r="GI76">
        <v>2</v>
      </c>
      <c r="GJ76">
        <v>0</v>
      </c>
      <c r="GK76">
        <f>ROUND(R76*(R12)/100,2)</f>
        <v>0</v>
      </c>
      <c r="GL76">
        <f t="shared" si="96"/>
        <v>0</v>
      </c>
      <c r="GM76">
        <f t="shared" si="97"/>
        <v>7466.71</v>
      </c>
      <c r="GN76">
        <f t="shared" si="98"/>
        <v>0</v>
      </c>
      <c r="GO76">
        <f t="shared" si="99"/>
        <v>0</v>
      </c>
      <c r="GP76">
        <f t="shared" si="100"/>
        <v>7466.71</v>
      </c>
      <c r="GR76">
        <v>0</v>
      </c>
      <c r="GS76">
        <v>0</v>
      </c>
      <c r="GT76">
        <v>0</v>
      </c>
      <c r="GU76" t="s">
        <v>3</v>
      </c>
      <c r="GV76">
        <f t="shared" si="101"/>
        <v>0</v>
      </c>
      <c r="GW76">
        <v>1</v>
      </c>
      <c r="GX76">
        <f t="shared" si="102"/>
        <v>0</v>
      </c>
      <c r="HA76">
        <v>0</v>
      </c>
      <c r="HB76">
        <v>0</v>
      </c>
      <c r="HC76">
        <f t="shared" si="103"/>
        <v>0</v>
      </c>
      <c r="HE76" t="s">
        <v>3</v>
      </c>
      <c r="HF76" t="s">
        <v>3</v>
      </c>
      <c r="IK76">
        <v>0</v>
      </c>
    </row>
    <row r="77" spans="1:245" x14ac:dyDescent="0.2">
      <c r="A77">
        <v>17</v>
      </c>
      <c r="B77">
        <v>1</v>
      </c>
      <c r="E77" t="s">
        <v>156</v>
      </c>
      <c r="F77" t="s">
        <v>157</v>
      </c>
      <c r="G77" t="s">
        <v>158</v>
      </c>
      <c r="H77" t="s">
        <v>159</v>
      </c>
      <c r="I77">
        <v>4</v>
      </c>
      <c r="J77">
        <v>0</v>
      </c>
      <c r="O77">
        <f t="shared" si="64"/>
        <v>13558.33</v>
      </c>
      <c r="P77">
        <f t="shared" si="65"/>
        <v>0</v>
      </c>
      <c r="Q77">
        <f t="shared" si="66"/>
        <v>0</v>
      </c>
      <c r="R77">
        <f t="shared" si="67"/>
        <v>0</v>
      </c>
      <c r="S77">
        <f t="shared" si="68"/>
        <v>13558.33</v>
      </c>
      <c r="T77">
        <f t="shared" si="69"/>
        <v>0</v>
      </c>
      <c r="U77">
        <f t="shared" si="70"/>
        <v>42.12</v>
      </c>
      <c r="V77">
        <f t="shared" si="71"/>
        <v>0</v>
      </c>
      <c r="W77">
        <f t="shared" si="72"/>
        <v>0</v>
      </c>
      <c r="X77">
        <f t="shared" si="73"/>
        <v>9219.66</v>
      </c>
      <c r="Y77">
        <f t="shared" si="74"/>
        <v>5558.92</v>
      </c>
      <c r="AA77">
        <v>23440596</v>
      </c>
      <c r="AB77">
        <f t="shared" si="75"/>
        <v>158.17099999999999</v>
      </c>
      <c r="AC77">
        <f t="shared" si="76"/>
        <v>0</v>
      </c>
      <c r="AD77">
        <f t="shared" si="77"/>
        <v>0</v>
      </c>
      <c r="AE77">
        <f t="shared" si="78"/>
        <v>0</v>
      </c>
      <c r="AF77">
        <f t="shared" si="79"/>
        <v>158.17099999999999</v>
      </c>
      <c r="AG77">
        <f t="shared" si="80"/>
        <v>0</v>
      </c>
      <c r="AH77">
        <f t="shared" si="81"/>
        <v>10.53</v>
      </c>
      <c r="AI77">
        <f t="shared" si="82"/>
        <v>0</v>
      </c>
      <c r="AJ77">
        <f t="shared" si="83"/>
        <v>0</v>
      </c>
      <c r="AK77">
        <v>121.67</v>
      </c>
      <c r="AL77">
        <v>0</v>
      </c>
      <c r="AM77">
        <v>0</v>
      </c>
      <c r="AN77">
        <v>0</v>
      </c>
      <c r="AO77">
        <v>121.67</v>
      </c>
      <c r="AP77">
        <v>0</v>
      </c>
      <c r="AQ77">
        <v>8.1</v>
      </c>
      <c r="AR77">
        <v>0</v>
      </c>
      <c r="AS77">
        <v>0</v>
      </c>
      <c r="AT77">
        <v>68</v>
      </c>
      <c r="AU77">
        <v>41</v>
      </c>
      <c r="AV77">
        <v>1</v>
      </c>
      <c r="AW77">
        <v>1</v>
      </c>
      <c r="AZ77">
        <v>1</v>
      </c>
      <c r="BA77">
        <v>21.43</v>
      </c>
      <c r="BB77">
        <v>1</v>
      </c>
      <c r="BC77">
        <v>1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4</v>
      </c>
      <c r="BJ77" t="s">
        <v>160</v>
      </c>
      <c r="BM77">
        <v>381</v>
      </c>
      <c r="BN77">
        <v>0</v>
      </c>
      <c r="BO77" t="s">
        <v>3</v>
      </c>
      <c r="BP77">
        <v>0</v>
      </c>
      <c r="BQ77">
        <v>50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68</v>
      </c>
      <c r="CA77">
        <v>41</v>
      </c>
      <c r="CE77">
        <v>30</v>
      </c>
      <c r="CF77">
        <v>0</v>
      </c>
      <c r="CG77">
        <v>0</v>
      </c>
      <c r="CM77">
        <v>0</v>
      </c>
      <c r="CN77" t="s">
        <v>146</v>
      </c>
      <c r="CO77">
        <v>0</v>
      </c>
      <c r="CP77">
        <f t="shared" si="84"/>
        <v>13558.33</v>
      </c>
      <c r="CQ77">
        <f t="shared" si="85"/>
        <v>0</v>
      </c>
      <c r="CR77">
        <f t="shared" si="86"/>
        <v>0</v>
      </c>
      <c r="CS77">
        <f t="shared" si="87"/>
        <v>0</v>
      </c>
      <c r="CT77">
        <f t="shared" si="88"/>
        <v>3389.58</v>
      </c>
      <c r="CU77">
        <f t="shared" si="89"/>
        <v>0</v>
      </c>
      <c r="CV77">
        <f t="shared" si="90"/>
        <v>10.53</v>
      </c>
      <c r="CW77">
        <f t="shared" si="91"/>
        <v>0</v>
      </c>
      <c r="CX77">
        <f t="shared" si="92"/>
        <v>0</v>
      </c>
      <c r="CY77">
        <f t="shared" si="93"/>
        <v>9219.6644000000015</v>
      </c>
      <c r="CZ77">
        <f t="shared" si="94"/>
        <v>5558.9152999999997</v>
      </c>
      <c r="DC77" t="s">
        <v>3</v>
      </c>
      <c r="DD77" t="s">
        <v>3</v>
      </c>
      <c r="DE77" t="s">
        <v>3</v>
      </c>
      <c r="DF77" t="s">
        <v>3</v>
      </c>
      <c r="DG77" t="s">
        <v>147</v>
      </c>
      <c r="DH77" t="s">
        <v>3</v>
      </c>
      <c r="DI77" t="s">
        <v>147</v>
      </c>
      <c r="DJ77" t="s">
        <v>3</v>
      </c>
      <c r="DK77" t="s">
        <v>3</v>
      </c>
      <c r="DL77" t="s">
        <v>3</v>
      </c>
      <c r="DM77" t="s">
        <v>3</v>
      </c>
      <c r="DN77">
        <v>75</v>
      </c>
      <c r="DO77">
        <v>70</v>
      </c>
      <c r="DP77">
        <v>1</v>
      </c>
      <c r="DQ77">
        <v>1</v>
      </c>
      <c r="DU77">
        <v>1013</v>
      </c>
      <c r="DV77" t="s">
        <v>159</v>
      </c>
      <c r="DW77" t="s">
        <v>159</v>
      </c>
      <c r="DX77">
        <v>1</v>
      </c>
      <c r="DZ77" t="s">
        <v>3</v>
      </c>
      <c r="EA77" t="s">
        <v>3</v>
      </c>
      <c r="EB77" t="s">
        <v>3</v>
      </c>
      <c r="EC77" t="s">
        <v>3</v>
      </c>
      <c r="EE77">
        <v>22827222</v>
      </c>
      <c r="EF77">
        <v>50</v>
      </c>
      <c r="EG77" t="s">
        <v>148</v>
      </c>
      <c r="EH77">
        <v>0</v>
      </c>
      <c r="EI77" t="s">
        <v>3</v>
      </c>
      <c r="EJ77">
        <v>4</v>
      </c>
      <c r="EK77">
        <v>381</v>
      </c>
      <c r="EL77" t="s">
        <v>149</v>
      </c>
      <c r="EM77" t="s">
        <v>150</v>
      </c>
      <c r="EO77" t="s">
        <v>151</v>
      </c>
      <c r="EQ77">
        <v>0</v>
      </c>
      <c r="ER77">
        <v>121.67</v>
      </c>
      <c r="ES77">
        <v>0</v>
      </c>
      <c r="ET77">
        <v>0</v>
      </c>
      <c r="EU77">
        <v>0</v>
      </c>
      <c r="EV77">
        <v>121.67</v>
      </c>
      <c r="EW77">
        <v>8.1</v>
      </c>
      <c r="EX77">
        <v>0</v>
      </c>
      <c r="EY77">
        <v>0</v>
      </c>
      <c r="FQ77">
        <v>0</v>
      </c>
      <c r="FR77">
        <f t="shared" si="95"/>
        <v>0</v>
      </c>
      <c r="FS77">
        <v>0</v>
      </c>
      <c r="FX77">
        <v>75</v>
      </c>
      <c r="FY77">
        <v>70</v>
      </c>
      <c r="GA77" t="s">
        <v>3</v>
      </c>
      <c r="GD77">
        <v>0</v>
      </c>
      <c r="GF77">
        <v>1876319296</v>
      </c>
      <c r="GG77">
        <v>2</v>
      </c>
      <c r="GH77">
        <v>1</v>
      </c>
      <c r="GI77">
        <v>2</v>
      </c>
      <c r="GJ77">
        <v>0</v>
      </c>
      <c r="GK77">
        <f>ROUND(R77*(R12)/100,2)</f>
        <v>0</v>
      </c>
      <c r="GL77">
        <f t="shared" si="96"/>
        <v>0</v>
      </c>
      <c r="GM77">
        <f t="shared" si="97"/>
        <v>28336.91</v>
      </c>
      <c r="GN77">
        <f t="shared" si="98"/>
        <v>0</v>
      </c>
      <c r="GO77">
        <f t="shared" si="99"/>
        <v>0</v>
      </c>
      <c r="GP77">
        <f t="shared" si="100"/>
        <v>28336.91</v>
      </c>
      <c r="GR77">
        <v>0</v>
      </c>
      <c r="GS77">
        <v>3</v>
      </c>
      <c r="GT77">
        <v>0</v>
      </c>
      <c r="GU77" t="s">
        <v>3</v>
      </c>
      <c r="GV77">
        <f t="shared" si="101"/>
        <v>0</v>
      </c>
      <c r="GW77">
        <v>1</v>
      </c>
      <c r="GX77">
        <f t="shared" si="102"/>
        <v>0</v>
      </c>
      <c r="HA77">
        <v>0</v>
      </c>
      <c r="HB77">
        <v>0</v>
      </c>
      <c r="HC77">
        <f t="shared" si="103"/>
        <v>0</v>
      </c>
      <c r="HE77" t="s">
        <v>3</v>
      </c>
      <c r="HF77" t="s">
        <v>3</v>
      </c>
      <c r="IK77">
        <v>0</v>
      </c>
    </row>
    <row r="78" spans="1:245" x14ac:dyDescent="0.2">
      <c r="A78">
        <v>17</v>
      </c>
      <c r="B78">
        <v>1</v>
      </c>
      <c r="E78" t="s">
        <v>161</v>
      </c>
      <c r="F78" t="s">
        <v>162</v>
      </c>
      <c r="G78" t="s">
        <v>163</v>
      </c>
      <c r="H78" t="s">
        <v>36</v>
      </c>
      <c r="I78">
        <v>4</v>
      </c>
      <c r="J78">
        <v>0</v>
      </c>
      <c r="O78">
        <f t="shared" si="64"/>
        <v>15430.84</v>
      </c>
      <c r="P78">
        <f t="shared" si="65"/>
        <v>0</v>
      </c>
      <c r="Q78">
        <f t="shared" si="66"/>
        <v>0</v>
      </c>
      <c r="R78">
        <f t="shared" si="67"/>
        <v>0</v>
      </c>
      <c r="S78">
        <f t="shared" si="68"/>
        <v>15430.84</v>
      </c>
      <c r="T78">
        <f t="shared" si="69"/>
        <v>0</v>
      </c>
      <c r="U78">
        <f t="shared" si="70"/>
        <v>37.440000000000005</v>
      </c>
      <c r="V78">
        <f t="shared" si="71"/>
        <v>0</v>
      </c>
      <c r="W78">
        <f t="shared" si="72"/>
        <v>0</v>
      </c>
      <c r="X78">
        <f t="shared" si="73"/>
        <v>10492.97</v>
      </c>
      <c r="Y78">
        <f t="shared" si="74"/>
        <v>6326.64</v>
      </c>
      <c r="AA78">
        <v>23440596</v>
      </c>
      <c r="AB78">
        <f t="shared" si="75"/>
        <v>155.428</v>
      </c>
      <c r="AC78">
        <f t="shared" si="76"/>
        <v>0</v>
      </c>
      <c r="AD78">
        <f t="shared" si="77"/>
        <v>0</v>
      </c>
      <c r="AE78">
        <f t="shared" si="78"/>
        <v>0</v>
      </c>
      <c r="AF78">
        <f t="shared" si="79"/>
        <v>155.428</v>
      </c>
      <c r="AG78">
        <f t="shared" si="80"/>
        <v>0</v>
      </c>
      <c r="AH78">
        <f t="shared" si="81"/>
        <v>9.3600000000000012</v>
      </c>
      <c r="AI78">
        <f t="shared" si="82"/>
        <v>0</v>
      </c>
      <c r="AJ78">
        <f t="shared" si="83"/>
        <v>0</v>
      </c>
      <c r="AK78">
        <v>119.56</v>
      </c>
      <c r="AL78">
        <v>0</v>
      </c>
      <c r="AM78">
        <v>0</v>
      </c>
      <c r="AN78">
        <v>0</v>
      </c>
      <c r="AO78">
        <v>119.56</v>
      </c>
      <c r="AP78">
        <v>0</v>
      </c>
      <c r="AQ78">
        <v>7.2</v>
      </c>
      <c r="AR78">
        <v>0</v>
      </c>
      <c r="AS78">
        <v>0</v>
      </c>
      <c r="AT78">
        <v>68</v>
      </c>
      <c r="AU78">
        <v>41</v>
      </c>
      <c r="AV78">
        <v>1</v>
      </c>
      <c r="AW78">
        <v>1</v>
      </c>
      <c r="AZ78">
        <v>1</v>
      </c>
      <c r="BA78">
        <v>24.82</v>
      </c>
      <c r="BB78">
        <v>1</v>
      </c>
      <c r="BC78">
        <v>1</v>
      </c>
      <c r="BD78" t="s">
        <v>3</v>
      </c>
      <c r="BE78" t="s">
        <v>3</v>
      </c>
      <c r="BF78" t="s">
        <v>3</v>
      </c>
      <c r="BG78" t="s">
        <v>3</v>
      </c>
      <c r="BH78">
        <v>0</v>
      </c>
      <c r="BI78">
        <v>4</v>
      </c>
      <c r="BJ78" t="s">
        <v>164</v>
      </c>
      <c r="BM78">
        <v>381</v>
      </c>
      <c r="BN78">
        <v>0</v>
      </c>
      <c r="BO78" t="s">
        <v>3</v>
      </c>
      <c r="BP78">
        <v>0</v>
      </c>
      <c r="BQ78">
        <v>50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68</v>
      </c>
      <c r="CA78">
        <v>41</v>
      </c>
      <c r="CE78">
        <v>30</v>
      </c>
      <c r="CF78">
        <v>0</v>
      </c>
      <c r="CG78">
        <v>0</v>
      </c>
      <c r="CM78">
        <v>0</v>
      </c>
      <c r="CN78" t="s">
        <v>146</v>
      </c>
      <c r="CO78">
        <v>0</v>
      </c>
      <c r="CP78">
        <f t="shared" si="84"/>
        <v>15430.84</v>
      </c>
      <c r="CQ78">
        <f t="shared" si="85"/>
        <v>0</v>
      </c>
      <c r="CR78">
        <f t="shared" si="86"/>
        <v>0</v>
      </c>
      <c r="CS78">
        <f t="shared" si="87"/>
        <v>0</v>
      </c>
      <c r="CT78">
        <f t="shared" si="88"/>
        <v>3857.77</v>
      </c>
      <c r="CU78">
        <f t="shared" si="89"/>
        <v>0</v>
      </c>
      <c r="CV78">
        <f t="shared" si="90"/>
        <v>9.3600000000000012</v>
      </c>
      <c r="CW78">
        <f t="shared" si="91"/>
        <v>0</v>
      </c>
      <c r="CX78">
        <f t="shared" si="92"/>
        <v>0</v>
      </c>
      <c r="CY78">
        <f t="shared" si="93"/>
        <v>10492.9712</v>
      </c>
      <c r="CZ78">
        <f t="shared" si="94"/>
        <v>6326.6444000000001</v>
      </c>
      <c r="DC78" t="s">
        <v>3</v>
      </c>
      <c r="DD78" t="s">
        <v>3</v>
      </c>
      <c r="DE78" t="s">
        <v>3</v>
      </c>
      <c r="DF78" t="s">
        <v>3</v>
      </c>
      <c r="DG78" t="s">
        <v>147</v>
      </c>
      <c r="DH78" t="s">
        <v>3</v>
      </c>
      <c r="DI78" t="s">
        <v>147</v>
      </c>
      <c r="DJ78" t="s">
        <v>3</v>
      </c>
      <c r="DK78" t="s">
        <v>3</v>
      </c>
      <c r="DL78" t="s">
        <v>3</v>
      </c>
      <c r="DM78" t="s">
        <v>3</v>
      </c>
      <c r="DN78">
        <v>75</v>
      </c>
      <c r="DO78">
        <v>70</v>
      </c>
      <c r="DP78">
        <v>1</v>
      </c>
      <c r="DQ78">
        <v>1</v>
      </c>
      <c r="DU78">
        <v>1010</v>
      </c>
      <c r="DV78" t="s">
        <v>36</v>
      </c>
      <c r="DW78" t="s">
        <v>36</v>
      </c>
      <c r="DX78">
        <v>1</v>
      </c>
      <c r="DZ78" t="s">
        <v>3</v>
      </c>
      <c r="EA78" t="s">
        <v>3</v>
      </c>
      <c r="EB78" t="s">
        <v>3</v>
      </c>
      <c r="EC78" t="s">
        <v>3</v>
      </c>
      <c r="EE78">
        <v>22827222</v>
      </c>
      <c r="EF78">
        <v>50</v>
      </c>
      <c r="EG78" t="s">
        <v>148</v>
      </c>
      <c r="EH78">
        <v>0</v>
      </c>
      <c r="EI78" t="s">
        <v>3</v>
      </c>
      <c r="EJ78">
        <v>4</v>
      </c>
      <c r="EK78">
        <v>381</v>
      </c>
      <c r="EL78" t="s">
        <v>149</v>
      </c>
      <c r="EM78" t="s">
        <v>150</v>
      </c>
      <c r="EO78" t="s">
        <v>151</v>
      </c>
      <c r="EQ78">
        <v>0</v>
      </c>
      <c r="ER78">
        <v>119.56</v>
      </c>
      <c r="ES78">
        <v>0</v>
      </c>
      <c r="ET78">
        <v>0</v>
      </c>
      <c r="EU78">
        <v>0</v>
      </c>
      <c r="EV78">
        <v>119.56</v>
      </c>
      <c r="EW78">
        <v>7.2</v>
      </c>
      <c r="EX78">
        <v>0</v>
      </c>
      <c r="EY78">
        <v>0</v>
      </c>
      <c r="FQ78">
        <v>0</v>
      </c>
      <c r="FR78">
        <f t="shared" si="95"/>
        <v>0</v>
      </c>
      <c r="FS78">
        <v>0</v>
      </c>
      <c r="FX78">
        <v>75</v>
      </c>
      <c r="FY78">
        <v>70</v>
      </c>
      <c r="GA78" t="s">
        <v>3</v>
      </c>
      <c r="GD78">
        <v>0</v>
      </c>
      <c r="GF78">
        <v>-1291008011</v>
      </c>
      <c r="GG78">
        <v>2</v>
      </c>
      <c r="GH78">
        <v>1</v>
      </c>
      <c r="GI78">
        <v>2</v>
      </c>
      <c r="GJ78">
        <v>0</v>
      </c>
      <c r="GK78">
        <f>ROUND(R78*(R12)/100,2)</f>
        <v>0</v>
      </c>
      <c r="GL78">
        <f t="shared" si="96"/>
        <v>0</v>
      </c>
      <c r="GM78">
        <f t="shared" si="97"/>
        <v>32250.45</v>
      </c>
      <c r="GN78">
        <f t="shared" si="98"/>
        <v>0</v>
      </c>
      <c r="GO78">
        <f t="shared" si="99"/>
        <v>0</v>
      </c>
      <c r="GP78">
        <f t="shared" si="100"/>
        <v>32250.45</v>
      </c>
      <c r="GR78">
        <v>0</v>
      </c>
      <c r="GS78">
        <v>3</v>
      </c>
      <c r="GT78">
        <v>0</v>
      </c>
      <c r="GU78" t="s">
        <v>3</v>
      </c>
      <c r="GV78">
        <f t="shared" si="101"/>
        <v>0</v>
      </c>
      <c r="GW78">
        <v>1</v>
      </c>
      <c r="GX78">
        <f t="shared" si="102"/>
        <v>0</v>
      </c>
      <c r="HA78">
        <v>0</v>
      </c>
      <c r="HB78">
        <v>0</v>
      </c>
      <c r="HC78">
        <f t="shared" si="103"/>
        <v>0</v>
      </c>
      <c r="HE78" t="s">
        <v>3</v>
      </c>
      <c r="HF78" t="s">
        <v>3</v>
      </c>
      <c r="IK78">
        <v>0</v>
      </c>
    </row>
    <row r="79" spans="1:245" x14ac:dyDescent="0.2">
      <c r="A79">
        <v>17</v>
      </c>
      <c r="B79">
        <v>1</v>
      </c>
      <c r="E79" t="s">
        <v>165</v>
      </c>
      <c r="F79" t="s">
        <v>166</v>
      </c>
      <c r="G79" t="s">
        <v>167</v>
      </c>
      <c r="H79" t="s">
        <v>168</v>
      </c>
      <c r="I79">
        <v>54</v>
      </c>
      <c r="J79">
        <v>0</v>
      </c>
      <c r="O79">
        <f t="shared" si="64"/>
        <v>4129.3</v>
      </c>
      <c r="P79">
        <f t="shared" si="65"/>
        <v>0</v>
      </c>
      <c r="Q79">
        <f t="shared" si="66"/>
        <v>0</v>
      </c>
      <c r="R79">
        <f t="shared" si="67"/>
        <v>0</v>
      </c>
      <c r="S79">
        <f t="shared" si="68"/>
        <v>4129.3</v>
      </c>
      <c r="T79">
        <f t="shared" si="69"/>
        <v>0</v>
      </c>
      <c r="U79">
        <f t="shared" si="70"/>
        <v>10.530000000000001</v>
      </c>
      <c r="V79">
        <f t="shared" si="71"/>
        <v>0</v>
      </c>
      <c r="W79">
        <f t="shared" si="72"/>
        <v>0</v>
      </c>
      <c r="X79">
        <f t="shared" si="73"/>
        <v>2807.92</v>
      </c>
      <c r="Y79">
        <f t="shared" si="74"/>
        <v>1693.01</v>
      </c>
      <c r="AA79">
        <v>23440596</v>
      </c>
      <c r="AB79">
        <f t="shared" si="75"/>
        <v>3.081</v>
      </c>
      <c r="AC79">
        <f t="shared" si="76"/>
        <v>0</v>
      </c>
      <c r="AD79">
        <f t="shared" si="77"/>
        <v>0</v>
      </c>
      <c r="AE79">
        <f t="shared" si="78"/>
        <v>0</v>
      </c>
      <c r="AF79">
        <f t="shared" si="79"/>
        <v>3.081</v>
      </c>
      <c r="AG79">
        <f t="shared" si="80"/>
        <v>0</v>
      </c>
      <c r="AH79">
        <f t="shared" si="81"/>
        <v>0.19500000000000001</v>
      </c>
      <c r="AI79">
        <f t="shared" si="82"/>
        <v>0</v>
      </c>
      <c r="AJ79">
        <f t="shared" si="83"/>
        <v>0</v>
      </c>
      <c r="AK79">
        <v>2.37</v>
      </c>
      <c r="AL79">
        <v>0</v>
      </c>
      <c r="AM79">
        <v>0</v>
      </c>
      <c r="AN79">
        <v>0</v>
      </c>
      <c r="AO79">
        <v>2.37</v>
      </c>
      <c r="AP79">
        <v>0</v>
      </c>
      <c r="AQ79">
        <v>0.15</v>
      </c>
      <c r="AR79">
        <v>0</v>
      </c>
      <c r="AS79">
        <v>0</v>
      </c>
      <c r="AT79">
        <v>68</v>
      </c>
      <c r="AU79">
        <v>41</v>
      </c>
      <c r="AV79">
        <v>1</v>
      </c>
      <c r="AW79">
        <v>1</v>
      </c>
      <c r="AZ79">
        <v>1</v>
      </c>
      <c r="BA79">
        <v>24.82</v>
      </c>
      <c r="BB79">
        <v>1</v>
      </c>
      <c r="BC79">
        <v>1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4</v>
      </c>
      <c r="BJ79" t="s">
        <v>169</v>
      </c>
      <c r="BM79">
        <v>381</v>
      </c>
      <c r="BN79">
        <v>0</v>
      </c>
      <c r="BO79" t="s">
        <v>3</v>
      </c>
      <c r="BP79">
        <v>0</v>
      </c>
      <c r="BQ79">
        <v>50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68</v>
      </c>
      <c r="CA79">
        <v>41</v>
      </c>
      <c r="CE79">
        <v>30</v>
      </c>
      <c r="CF79">
        <v>0</v>
      </c>
      <c r="CG79">
        <v>0</v>
      </c>
      <c r="CM79">
        <v>0</v>
      </c>
      <c r="CN79" t="s">
        <v>146</v>
      </c>
      <c r="CO79">
        <v>0</v>
      </c>
      <c r="CP79">
        <f t="shared" si="84"/>
        <v>4129.3</v>
      </c>
      <c r="CQ79">
        <f t="shared" si="85"/>
        <v>0</v>
      </c>
      <c r="CR79">
        <f t="shared" si="86"/>
        <v>0</v>
      </c>
      <c r="CS79">
        <f t="shared" si="87"/>
        <v>0</v>
      </c>
      <c r="CT79">
        <f t="shared" si="88"/>
        <v>76.45</v>
      </c>
      <c r="CU79">
        <f t="shared" si="89"/>
        <v>0</v>
      </c>
      <c r="CV79">
        <f t="shared" si="90"/>
        <v>0.19500000000000001</v>
      </c>
      <c r="CW79">
        <f t="shared" si="91"/>
        <v>0</v>
      </c>
      <c r="CX79">
        <f t="shared" si="92"/>
        <v>0</v>
      </c>
      <c r="CY79">
        <f t="shared" si="93"/>
        <v>2807.9240000000004</v>
      </c>
      <c r="CZ79">
        <f t="shared" si="94"/>
        <v>1693.0129999999999</v>
      </c>
      <c r="DC79" t="s">
        <v>3</v>
      </c>
      <c r="DD79" t="s">
        <v>3</v>
      </c>
      <c r="DE79" t="s">
        <v>3</v>
      </c>
      <c r="DF79" t="s">
        <v>3</v>
      </c>
      <c r="DG79" t="s">
        <v>147</v>
      </c>
      <c r="DH79" t="s">
        <v>3</v>
      </c>
      <c r="DI79" t="s">
        <v>147</v>
      </c>
      <c r="DJ79" t="s">
        <v>3</v>
      </c>
      <c r="DK79" t="s">
        <v>3</v>
      </c>
      <c r="DL79" t="s">
        <v>3</v>
      </c>
      <c r="DM79" t="s">
        <v>3</v>
      </c>
      <c r="DN79">
        <v>75</v>
      </c>
      <c r="DO79">
        <v>70</v>
      </c>
      <c r="DP79">
        <v>1</v>
      </c>
      <c r="DQ79">
        <v>1</v>
      </c>
      <c r="DU79">
        <v>1013</v>
      </c>
      <c r="DV79" t="s">
        <v>168</v>
      </c>
      <c r="DW79" t="s">
        <v>168</v>
      </c>
      <c r="DX79">
        <v>1</v>
      </c>
      <c r="DZ79" t="s">
        <v>3</v>
      </c>
      <c r="EA79" t="s">
        <v>3</v>
      </c>
      <c r="EB79" t="s">
        <v>3</v>
      </c>
      <c r="EC79" t="s">
        <v>3</v>
      </c>
      <c r="EE79">
        <v>22827222</v>
      </c>
      <c r="EF79">
        <v>50</v>
      </c>
      <c r="EG79" t="s">
        <v>148</v>
      </c>
      <c r="EH79">
        <v>0</v>
      </c>
      <c r="EI79" t="s">
        <v>3</v>
      </c>
      <c r="EJ79">
        <v>4</v>
      </c>
      <c r="EK79">
        <v>381</v>
      </c>
      <c r="EL79" t="s">
        <v>149</v>
      </c>
      <c r="EM79" t="s">
        <v>150</v>
      </c>
      <c r="EO79" t="s">
        <v>151</v>
      </c>
      <c r="EQ79">
        <v>0</v>
      </c>
      <c r="ER79">
        <v>2.37</v>
      </c>
      <c r="ES79">
        <v>0</v>
      </c>
      <c r="ET79">
        <v>0</v>
      </c>
      <c r="EU79">
        <v>0</v>
      </c>
      <c r="EV79">
        <v>2.37</v>
      </c>
      <c r="EW79">
        <v>0.15</v>
      </c>
      <c r="EX79">
        <v>0</v>
      </c>
      <c r="EY79">
        <v>0</v>
      </c>
      <c r="FQ79">
        <v>0</v>
      </c>
      <c r="FR79">
        <f t="shared" si="95"/>
        <v>0</v>
      </c>
      <c r="FS79">
        <v>0</v>
      </c>
      <c r="FX79">
        <v>75</v>
      </c>
      <c r="FY79">
        <v>70</v>
      </c>
      <c r="GA79" t="s">
        <v>3</v>
      </c>
      <c r="GD79">
        <v>0</v>
      </c>
      <c r="GF79">
        <v>1785522873</v>
      </c>
      <c r="GG79">
        <v>2</v>
      </c>
      <c r="GH79">
        <v>1</v>
      </c>
      <c r="GI79">
        <v>2</v>
      </c>
      <c r="GJ79">
        <v>0</v>
      </c>
      <c r="GK79">
        <f>ROUND(R79*(R12)/100,2)</f>
        <v>0</v>
      </c>
      <c r="GL79">
        <f t="shared" si="96"/>
        <v>0</v>
      </c>
      <c r="GM79">
        <f t="shared" si="97"/>
        <v>8630.23</v>
      </c>
      <c r="GN79">
        <f t="shared" si="98"/>
        <v>0</v>
      </c>
      <c r="GO79">
        <f t="shared" si="99"/>
        <v>0</v>
      </c>
      <c r="GP79">
        <f t="shared" si="100"/>
        <v>8630.23</v>
      </c>
      <c r="GR79">
        <v>0</v>
      </c>
      <c r="GS79">
        <v>0</v>
      </c>
      <c r="GT79">
        <v>0</v>
      </c>
      <c r="GU79" t="s">
        <v>3</v>
      </c>
      <c r="GV79">
        <f t="shared" si="101"/>
        <v>0</v>
      </c>
      <c r="GW79">
        <v>1</v>
      </c>
      <c r="GX79">
        <f t="shared" si="102"/>
        <v>0</v>
      </c>
      <c r="HA79">
        <v>0</v>
      </c>
      <c r="HB79">
        <v>0</v>
      </c>
      <c r="HC79">
        <f t="shared" si="103"/>
        <v>0</v>
      </c>
      <c r="HE79" t="s">
        <v>3</v>
      </c>
      <c r="HF79" t="s">
        <v>3</v>
      </c>
      <c r="IK79">
        <v>0</v>
      </c>
    </row>
    <row r="80" spans="1:245" x14ac:dyDescent="0.2">
      <c r="A80">
        <v>17</v>
      </c>
      <c r="B80">
        <v>1</v>
      </c>
      <c r="E80" t="s">
        <v>170</v>
      </c>
      <c r="F80" t="s">
        <v>171</v>
      </c>
      <c r="G80" t="s">
        <v>172</v>
      </c>
      <c r="H80" t="s">
        <v>173</v>
      </c>
      <c r="I80">
        <v>20</v>
      </c>
      <c r="J80">
        <v>0</v>
      </c>
      <c r="O80">
        <f t="shared" si="64"/>
        <v>10215.42</v>
      </c>
      <c r="P80">
        <f t="shared" si="65"/>
        <v>0</v>
      </c>
      <c r="Q80">
        <f t="shared" si="66"/>
        <v>0</v>
      </c>
      <c r="R80">
        <f t="shared" si="67"/>
        <v>0</v>
      </c>
      <c r="S80">
        <f t="shared" si="68"/>
        <v>10215.42</v>
      </c>
      <c r="T80">
        <f t="shared" si="69"/>
        <v>0</v>
      </c>
      <c r="U80">
        <f t="shared" si="70"/>
        <v>26</v>
      </c>
      <c r="V80">
        <f t="shared" si="71"/>
        <v>0</v>
      </c>
      <c r="W80">
        <f t="shared" si="72"/>
        <v>0</v>
      </c>
      <c r="X80">
        <f t="shared" si="73"/>
        <v>6946.49</v>
      </c>
      <c r="Y80">
        <f t="shared" si="74"/>
        <v>4188.32</v>
      </c>
      <c r="AA80">
        <v>23440596</v>
      </c>
      <c r="AB80">
        <f t="shared" si="75"/>
        <v>20.579000000000001</v>
      </c>
      <c r="AC80">
        <f t="shared" si="76"/>
        <v>0</v>
      </c>
      <c r="AD80">
        <f t="shared" si="77"/>
        <v>0</v>
      </c>
      <c r="AE80">
        <f t="shared" si="78"/>
        <v>0</v>
      </c>
      <c r="AF80">
        <f t="shared" si="79"/>
        <v>20.579000000000001</v>
      </c>
      <c r="AG80">
        <f t="shared" si="80"/>
        <v>0</v>
      </c>
      <c r="AH80">
        <f t="shared" si="81"/>
        <v>1.3</v>
      </c>
      <c r="AI80">
        <f t="shared" si="82"/>
        <v>0</v>
      </c>
      <c r="AJ80">
        <f t="shared" si="83"/>
        <v>0</v>
      </c>
      <c r="AK80">
        <v>15.83</v>
      </c>
      <c r="AL80">
        <v>0</v>
      </c>
      <c r="AM80">
        <v>0</v>
      </c>
      <c r="AN80">
        <v>0</v>
      </c>
      <c r="AO80">
        <v>15.83</v>
      </c>
      <c r="AP80">
        <v>0</v>
      </c>
      <c r="AQ80">
        <v>1</v>
      </c>
      <c r="AR80">
        <v>0</v>
      </c>
      <c r="AS80">
        <v>0</v>
      </c>
      <c r="AT80">
        <v>68</v>
      </c>
      <c r="AU80">
        <v>41</v>
      </c>
      <c r="AV80">
        <v>1</v>
      </c>
      <c r="AW80">
        <v>1</v>
      </c>
      <c r="AZ80">
        <v>1</v>
      </c>
      <c r="BA80">
        <v>24.82</v>
      </c>
      <c r="BB80">
        <v>1</v>
      </c>
      <c r="BC80">
        <v>1</v>
      </c>
      <c r="BD80" t="s">
        <v>3</v>
      </c>
      <c r="BE80" t="s">
        <v>3</v>
      </c>
      <c r="BF80" t="s">
        <v>3</v>
      </c>
      <c r="BG80" t="s">
        <v>3</v>
      </c>
      <c r="BH80">
        <v>0</v>
      </c>
      <c r="BI80">
        <v>4</v>
      </c>
      <c r="BJ80" t="s">
        <v>174</v>
      </c>
      <c r="BM80">
        <v>381</v>
      </c>
      <c r="BN80">
        <v>0</v>
      </c>
      <c r="BO80" t="s">
        <v>3</v>
      </c>
      <c r="BP80">
        <v>0</v>
      </c>
      <c r="BQ80">
        <v>50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68</v>
      </c>
      <c r="CA80">
        <v>41</v>
      </c>
      <c r="CE80">
        <v>30</v>
      </c>
      <c r="CF80">
        <v>0</v>
      </c>
      <c r="CG80">
        <v>0</v>
      </c>
      <c r="CM80">
        <v>0</v>
      </c>
      <c r="CN80" t="s">
        <v>146</v>
      </c>
      <c r="CO80">
        <v>0</v>
      </c>
      <c r="CP80">
        <f t="shared" si="84"/>
        <v>10215.42</v>
      </c>
      <c r="CQ80">
        <f t="shared" si="85"/>
        <v>0</v>
      </c>
      <c r="CR80">
        <f t="shared" si="86"/>
        <v>0</v>
      </c>
      <c r="CS80">
        <f t="shared" si="87"/>
        <v>0</v>
      </c>
      <c r="CT80">
        <f t="shared" si="88"/>
        <v>510.8</v>
      </c>
      <c r="CU80">
        <f t="shared" si="89"/>
        <v>0</v>
      </c>
      <c r="CV80">
        <f t="shared" si="90"/>
        <v>1.3</v>
      </c>
      <c r="CW80">
        <f t="shared" si="91"/>
        <v>0</v>
      </c>
      <c r="CX80">
        <f t="shared" si="92"/>
        <v>0</v>
      </c>
      <c r="CY80">
        <f t="shared" si="93"/>
        <v>6946.4856000000009</v>
      </c>
      <c r="CZ80">
        <f t="shared" si="94"/>
        <v>4188.3221999999996</v>
      </c>
      <c r="DC80" t="s">
        <v>3</v>
      </c>
      <c r="DD80" t="s">
        <v>3</v>
      </c>
      <c r="DE80" t="s">
        <v>3</v>
      </c>
      <c r="DF80" t="s">
        <v>3</v>
      </c>
      <c r="DG80" t="s">
        <v>147</v>
      </c>
      <c r="DH80" t="s">
        <v>3</v>
      </c>
      <c r="DI80" t="s">
        <v>147</v>
      </c>
      <c r="DJ80" t="s">
        <v>3</v>
      </c>
      <c r="DK80" t="s">
        <v>3</v>
      </c>
      <c r="DL80" t="s">
        <v>3</v>
      </c>
      <c r="DM80" t="s">
        <v>3</v>
      </c>
      <c r="DN80">
        <v>75</v>
      </c>
      <c r="DO80">
        <v>70</v>
      </c>
      <c r="DP80">
        <v>1</v>
      </c>
      <c r="DQ80">
        <v>1</v>
      </c>
      <c r="DU80">
        <v>1013</v>
      </c>
      <c r="DV80" t="s">
        <v>173</v>
      </c>
      <c r="DW80" t="s">
        <v>173</v>
      </c>
      <c r="DX80">
        <v>1</v>
      </c>
      <c r="DZ80" t="s">
        <v>3</v>
      </c>
      <c r="EA80" t="s">
        <v>3</v>
      </c>
      <c r="EB80" t="s">
        <v>3</v>
      </c>
      <c r="EC80" t="s">
        <v>3</v>
      </c>
      <c r="EE80">
        <v>22827222</v>
      </c>
      <c r="EF80">
        <v>50</v>
      </c>
      <c r="EG80" t="s">
        <v>148</v>
      </c>
      <c r="EH80">
        <v>0</v>
      </c>
      <c r="EI80" t="s">
        <v>3</v>
      </c>
      <c r="EJ80">
        <v>4</v>
      </c>
      <c r="EK80">
        <v>381</v>
      </c>
      <c r="EL80" t="s">
        <v>149</v>
      </c>
      <c r="EM80" t="s">
        <v>150</v>
      </c>
      <c r="EO80" t="s">
        <v>151</v>
      </c>
      <c r="EQ80">
        <v>0</v>
      </c>
      <c r="ER80">
        <v>15.83</v>
      </c>
      <c r="ES80">
        <v>0</v>
      </c>
      <c r="ET80">
        <v>0</v>
      </c>
      <c r="EU80">
        <v>0</v>
      </c>
      <c r="EV80">
        <v>15.83</v>
      </c>
      <c r="EW80">
        <v>1</v>
      </c>
      <c r="EX80">
        <v>0</v>
      </c>
      <c r="EY80">
        <v>0</v>
      </c>
      <c r="FQ80">
        <v>0</v>
      </c>
      <c r="FR80">
        <f t="shared" si="95"/>
        <v>0</v>
      </c>
      <c r="FS80">
        <v>0</v>
      </c>
      <c r="FX80">
        <v>75</v>
      </c>
      <c r="FY80">
        <v>70</v>
      </c>
      <c r="GA80" t="s">
        <v>3</v>
      </c>
      <c r="GD80">
        <v>0</v>
      </c>
      <c r="GF80">
        <v>-723712631</v>
      </c>
      <c r="GG80">
        <v>2</v>
      </c>
      <c r="GH80">
        <v>1</v>
      </c>
      <c r="GI80">
        <v>2</v>
      </c>
      <c r="GJ80">
        <v>0</v>
      </c>
      <c r="GK80">
        <f>ROUND(R80*(R12)/100,2)</f>
        <v>0</v>
      </c>
      <c r="GL80">
        <f t="shared" si="96"/>
        <v>0</v>
      </c>
      <c r="GM80">
        <f t="shared" si="97"/>
        <v>21350.23</v>
      </c>
      <c r="GN80">
        <f t="shared" si="98"/>
        <v>0</v>
      </c>
      <c r="GO80">
        <f t="shared" si="99"/>
        <v>0</v>
      </c>
      <c r="GP80">
        <f t="shared" si="100"/>
        <v>21350.23</v>
      </c>
      <c r="GR80">
        <v>0</v>
      </c>
      <c r="GS80">
        <v>0</v>
      </c>
      <c r="GT80">
        <v>0</v>
      </c>
      <c r="GU80" t="s">
        <v>3</v>
      </c>
      <c r="GV80">
        <f t="shared" si="101"/>
        <v>0</v>
      </c>
      <c r="GW80">
        <v>1</v>
      </c>
      <c r="GX80">
        <f t="shared" si="102"/>
        <v>0</v>
      </c>
      <c r="HA80">
        <v>0</v>
      </c>
      <c r="HB80">
        <v>0</v>
      </c>
      <c r="HC80">
        <f t="shared" si="103"/>
        <v>0</v>
      </c>
      <c r="HE80" t="s">
        <v>3</v>
      </c>
      <c r="HF80" t="s">
        <v>3</v>
      </c>
      <c r="IK80">
        <v>0</v>
      </c>
    </row>
    <row r="81" spans="1:245" x14ac:dyDescent="0.2">
      <c r="A81">
        <v>17</v>
      </c>
      <c r="B81">
        <v>1</v>
      </c>
      <c r="E81" t="s">
        <v>175</v>
      </c>
      <c r="F81" t="s">
        <v>176</v>
      </c>
      <c r="G81" t="s">
        <v>177</v>
      </c>
      <c r="H81" t="s">
        <v>178</v>
      </c>
      <c r="I81">
        <f>ROUND(16,9)</f>
        <v>16</v>
      </c>
      <c r="J81">
        <v>0</v>
      </c>
      <c r="O81">
        <f t="shared" si="64"/>
        <v>7351.44</v>
      </c>
      <c r="P81">
        <f t="shared" si="65"/>
        <v>0</v>
      </c>
      <c r="Q81">
        <f t="shared" si="66"/>
        <v>0</v>
      </c>
      <c r="R81">
        <f t="shared" si="67"/>
        <v>0</v>
      </c>
      <c r="S81">
        <f t="shared" si="68"/>
        <v>7351.44</v>
      </c>
      <c r="T81">
        <f t="shared" si="69"/>
        <v>0</v>
      </c>
      <c r="U81">
        <f t="shared" si="70"/>
        <v>18.720000000000002</v>
      </c>
      <c r="V81">
        <f t="shared" si="71"/>
        <v>0</v>
      </c>
      <c r="W81">
        <f t="shared" si="72"/>
        <v>0</v>
      </c>
      <c r="X81">
        <f t="shared" si="73"/>
        <v>4998.9799999999996</v>
      </c>
      <c r="Y81">
        <f t="shared" si="74"/>
        <v>3014.09</v>
      </c>
      <c r="AA81">
        <v>23440596</v>
      </c>
      <c r="AB81">
        <f t="shared" si="75"/>
        <v>18.512</v>
      </c>
      <c r="AC81">
        <f t="shared" si="76"/>
        <v>0</v>
      </c>
      <c r="AD81">
        <f t="shared" si="77"/>
        <v>0</v>
      </c>
      <c r="AE81">
        <f t="shared" si="78"/>
        <v>0</v>
      </c>
      <c r="AF81">
        <f t="shared" si="79"/>
        <v>18.512</v>
      </c>
      <c r="AG81">
        <f t="shared" si="80"/>
        <v>0</v>
      </c>
      <c r="AH81">
        <f t="shared" si="81"/>
        <v>1.1700000000000002</v>
      </c>
      <c r="AI81">
        <f t="shared" si="82"/>
        <v>0</v>
      </c>
      <c r="AJ81">
        <f t="shared" si="83"/>
        <v>0</v>
      </c>
      <c r="AK81">
        <v>14.24</v>
      </c>
      <c r="AL81">
        <v>0</v>
      </c>
      <c r="AM81">
        <v>0</v>
      </c>
      <c r="AN81">
        <v>0</v>
      </c>
      <c r="AO81">
        <v>14.24</v>
      </c>
      <c r="AP81">
        <v>0</v>
      </c>
      <c r="AQ81">
        <v>0.9</v>
      </c>
      <c r="AR81">
        <v>0</v>
      </c>
      <c r="AS81">
        <v>0</v>
      </c>
      <c r="AT81">
        <v>68</v>
      </c>
      <c r="AU81">
        <v>41</v>
      </c>
      <c r="AV81">
        <v>1</v>
      </c>
      <c r="AW81">
        <v>1</v>
      </c>
      <c r="AZ81">
        <v>1</v>
      </c>
      <c r="BA81">
        <v>24.82</v>
      </c>
      <c r="BB81">
        <v>1</v>
      </c>
      <c r="BC81">
        <v>1</v>
      </c>
      <c r="BD81" t="s">
        <v>3</v>
      </c>
      <c r="BE81" t="s">
        <v>3</v>
      </c>
      <c r="BF81" t="s">
        <v>3</v>
      </c>
      <c r="BG81" t="s">
        <v>3</v>
      </c>
      <c r="BH81">
        <v>0</v>
      </c>
      <c r="BI81">
        <v>4</v>
      </c>
      <c r="BJ81" t="s">
        <v>179</v>
      </c>
      <c r="BM81">
        <v>381</v>
      </c>
      <c r="BN81">
        <v>0</v>
      </c>
      <c r="BO81" t="s">
        <v>3</v>
      </c>
      <c r="BP81">
        <v>0</v>
      </c>
      <c r="BQ81">
        <v>50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68</v>
      </c>
      <c r="CA81">
        <v>41</v>
      </c>
      <c r="CE81">
        <v>30</v>
      </c>
      <c r="CF81">
        <v>0</v>
      </c>
      <c r="CG81">
        <v>0</v>
      </c>
      <c r="CM81">
        <v>0</v>
      </c>
      <c r="CN81" t="s">
        <v>146</v>
      </c>
      <c r="CO81">
        <v>0</v>
      </c>
      <c r="CP81">
        <f t="shared" si="84"/>
        <v>7351.44</v>
      </c>
      <c r="CQ81">
        <f t="shared" si="85"/>
        <v>0</v>
      </c>
      <c r="CR81">
        <f t="shared" si="86"/>
        <v>0</v>
      </c>
      <c r="CS81">
        <f t="shared" si="87"/>
        <v>0</v>
      </c>
      <c r="CT81">
        <f t="shared" si="88"/>
        <v>459.42</v>
      </c>
      <c r="CU81">
        <f t="shared" si="89"/>
        <v>0</v>
      </c>
      <c r="CV81">
        <f t="shared" si="90"/>
        <v>1.1700000000000002</v>
      </c>
      <c r="CW81">
        <f t="shared" si="91"/>
        <v>0</v>
      </c>
      <c r="CX81">
        <f t="shared" si="92"/>
        <v>0</v>
      </c>
      <c r="CY81">
        <f t="shared" si="93"/>
        <v>4998.9791999999998</v>
      </c>
      <c r="CZ81">
        <f t="shared" si="94"/>
        <v>3014.0903999999996</v>
      </c>
      <c r="DC81" t="s">
        <v>3</v>
      </c>
      <c r="DD81" t="s">
        <v>3</v>
      </c>
      <c r="DE81" t="s">
        <v>3</v>
      </c>
      <c r="DF81" t="s">
        <v>3</v>
      </c>
      <c r="DG81" t="s">
        <v>147</v>
      </c>
      <c r="DH81" t="s">
        <v>3</v>
      </c>
      <c r="DI81" t="s">
        <v>147</v>
      </c>
      <c r="DJ81" t="s">
        <v>3</v>
      </c>
      <c r="DK81" t="s">
        <v>3</v>
      </c>
      <c r="DL81" t="s">
        <v>3</v>
      </c>
      <c r="DM81" t="s">
        <v>3</v>
      </c>
      <c r="DN81">
        <v>75</v>
      </c>
      <c r="DO81">
        <v>70</v>
      </c>
      <c r="DP81">
        <v>1</v>
      </c>
      <c r="DQ81">
        <v>1</v>
      </c>
      <c r="DU81">
        <v>1013</v>
      </c>
      <c r="DV81" t="s">
        <v>178</v>
      </c>
      <c r="DW81" t="s">
        <v>178</v>
      </c>
      <c r="DX81">
        <v>1</v>
      </c>
      <c r="DZ81" t="s">
        <v>3</v>
      </c>
      <c r="EA81" t="s">
        <v>3</v>
      </c>
      <c r="EB81" t="s">
        <v>3</v>
      </c>
      <c r="EC81" t="s">
        <v>3</v>
      </c>
      <c r="EE81">
        <v>22827222</v>
      </c>
      <c r="EF81">
        <v>50</v>
      </c>
      <c r="EG81" t="s">
        <v>148</v>
      </c>
      <c r="EH81">
        <v>0</v>
      </c>
      <c r="EI81" t="s">
        <v>3</v>
      </c>
      <c r="EJ81">
        <v>4</v>
      </c>
      <c r="EK81">
        <v>381</v>
      </c>
      <c r="EL81" t="s">
        <v>149</v>
      </c>
      <c r="EM81" t="s">
        <v>150</v>
      </c>
      <c r="EO81" t="s">
        <v>151</v>
      </c>
      <c r="EQ81">
        <v>0</v>
      </c>
      <c r="ER81">
        <v>14.24</v>
      </c>
      <c r="ES81">
        <v>0</v>
      </c>
      <c r="ET81">
        <v>0</v>
      </c>
      <c r="EU81">
        <v>0</v>
      </c>
      <c r="EV81">
        <v>14.24</v>
      </c>
      <c r="EW81">
        <v>0.9</v>
      </c>
      <c r="EX81">
        <v>0</v>
      </c>
      <c r="EY81">
        <v>0</v>
      </c>
      <c r="FQ81">
        <v>0</v>
      </c>
      <c r="FR81">
        <f t="shared" si="95"/>
        <v>0</v>
      </c>
      <c r="FS81">
        <v>0</v>
      </c>
      <c r="FX81">
        <v>75</v>
      </c>
      <c r="FY81">
        <v>70</v>
      </c>
      <c r="GA81" t="s">
        <v>3</v>
      </c>
      <c r="GD81">
        <v>0</v>
      </c>
      <c r="GF81">
        <v>-1941331641</v>
      </c>
      <c r="GG81">
        <v>2</v>
      </c>
      <c r="GH81">
        <v>1</v>
      </c>
      <c r="GI81">
        <v>2</v>
      </c>
      <c r="GJ81">
        <v>0</v>
      </c>
      <c r="GK81">
        <f>ROUND(R81*(R12)/100,2)</f>
        <v>0</v>
      </c>
      <c r="GL81">
        <f t="shared" si="96"/>
        <v>0</v>
      </c>
      <c r="GM81">
        <f t="shared" si="97"/>
        <v>15364.51</v>
      </c>
      <c r="GN81">
        <f t="shared" si="98"/>
        <v>0</v>
      </c>
      <c r="GO81">
        <f t="shared" si="99"/>
        <v>0</v>
      </c>
      <c r="GP81">
        <f t="shared" si="100"/>
        <v>15364.51</v>
      </c>
      <c r="GR81">
        <v>0</v>
      </c>
      <c r="GS81">
        <v>0</v>
      </c>
      <c r="GT81">
        <v>0</v>
      </c>
      <c r="GU81" t="s">
        <v>3</v>
      </c>
      <c r="GV81">
        <f t="shared" si="101"/>
        <v>0</v>
      </c>
      <c r="GW81">
        <v>1</v>
      </c>
      <c r="GX81">
        <f t="shared" si="102"/>
        <v>0</v>
      </c>
      <c r="HA81">
        <v>0</v>
      </c>
      <c r="HB81">
        <v>0</v>
      </c>
      <c r="HC81">
        <f t="shared" si="103"/>
        <v>0</v>
      </c>
      <c r="HE81" t="s">
        <v>3</v>
      </c>
      <c r="HF81" t="s">
        <v>3</v>
      </c>
      <c r="IK81">
        <v>0</v>
      </c>
    </row>
    <row r="82" spans="1:245" x14ac:dyDescent="0.2">
      <c r="A82">
        <v>17</v>
      </c>
      <c r="B82">
        <v>1</v>
      </c>
      <c r="E82" t="s">
        <v>180</v>
      </c>
      <c r="F82" t="s">
        <v>181</v>
      </c>
      <c r="G82" t="s">
        <v>182</v>
      </c>
      <c r="H82" t="s">
        <v>183</v>
      </c>
      <c r="I82">
        <v>112</v>
      </c>
      <c r="J82">
        <v>0</v>
      </c>
      <c r="O82">
        <f t="shared" si="64"/>
        <v>20598.61</v>
      </c>
      <c r="P82">
        <f t="shared" si="65"/>
        <v>0</v>
      </c>
      <c r="Q82">
        <f t="shared" si="66"/>
        <v>0</v>
      </c>
      <c r="R82">
        <f t="shared" si="67"/>
        <v>0</v>
      </c>
      <c r="S82">
        <f t="shared" si="68"/>
        <v>20598.61</v>
      </c>
      <c r="T82">
        <f t="shared" si="69"/>
        <v>0</v>
      </c>
      <c r="U82">
        <f t="shared" si="70"/>
        <v>52.415999999999997</v>
      </c>
      <c r="V82">
        <f t="shared" si="71"/>
        <v>0</v>
      </c>
      <c r="W82">
        <f t="shared" si="72"/>
        <v>0</v>
      </c>
      <c r="X82">
        <f t="shared" si="73"/>
        <v>14007.05</v>
      </c>
      <c r="Y82">
        <f t="shared" si="74"/>
        <v>8445.43</v>
      </c>
      <c r="AA82">
        <v>23440596</v>
      </c>
      <c r="AB82">
        <f t="shared" si="75"/>
        <v>7.41</v>
      </c>
      <c r="AC82">
        <f t="shared" si="76"/>
        <v>0</v>
      </c>
      <c r="AD82">
        <f t="shared" si="77"/>
        <v>0</v>
      </c>
      <c r="AE82">
        <f t="shared" si="78"/>
        <v>0</v>
      </c>
      <c r="AF82">
        <f t="shared" si="79"/>
        <v>7.41</v>
      </c>
      <c r="AG82">
        <f t="shared" si="80"/>
        <v>0</v>
      </c>
      <c r="AH82">
        <f t="shared" si="81"/>
        <v>0.46799999999999997</v>
      </c>
      <c r="AI82">
        <f t="shared" si="82"/>
        <v>0</v>
      </c>
      <c r="AJ82">
        <f t="shared" si="83"/>
        <v>0</v>
      </c>
      <c r="AK82">
        <v>5.7</v>
      </c>
      <c r="AL82">
        <v>0</v>
      </c>
      <c r="AM82">
        <v>0</v>
      </c>
      <c r="AN82">
        <v>0</v>
      </c>
      <c r="AO82">
        <v>5.7</v>
      </c>
      <c r="AP82">
        <v>0</v>
      </c>
      <c r="AQ82">
        <v>0.36</v>
      </c>
      <c r="AR82">
        <v>0</v>
      </c>
      <c r="AS82">
        <v>0</v>
      </c>
      <c r="AT82">
        <v>68</v>
      </c>
      <c r="AU82">
        <v>41</v>
      </c>
      <c r="AV82">
        <v>1</v>
      </c>
      <c r="AW82">
        <v>1</v>
      </c>
      <c r="AZ82">
        <v>1</v>
      </c>
      <c r="BA82">
        <v>24.82</v>
      </c>
      <c r="BB82">
        <v>1</v>
      </c>
      <c r="BC82">
        <v>1</v>
      </c>
      <c r="BD82" t="s">
        <v>3</v>
      </c>
      <c r="BE82" t="s">
        <v>3</v>
      </c>
      <c r="BF82" t="s">
        <v>3</v>
      </c>
      <c r="BG82" t="s">
        <v>3</v>
      </c>
      <c r="BH82">
        <v>0</v>
      </c>
      <c r="BI82">
        <v>4</v>
      </c>
      <c r="BJ82" t="s">
        <v>184</v>
      </c>
      <c r="BM82">
        <v>381</v>
      </c>
      <c r="BN82">
        <v>0</v>
      </c>
      <c r="BO82" t="s">
        <v>3</v>
      </c>
      <c r="BP82">
        <v>0</v>
      </c>
      <c r="BQ82">
        <v>50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68</v>
      </c>
      <c r="CA82">
        <v>41</v>
      </c>
      <c r="CE82">
        <v>30</v>
      </c>
      <c r="CF82">
        <v>0</v>
      </c>
      <c r="CG82">
        <v>0</v>
      </c>
      <c r="CM82">
        <v>0</v>
      </c>
      <c r="CN82" t="s">
        <v>146</v>
      </c>
      <c r="CO82">
        <v>0</v>
      </c>
      <c r="CP82">
        <f t="shared" si="84"/>
        <v>20598.61</v>
      </c>
      <c r="CQ82">
        <f t="shared" si="85"/>
        <v>0</v>
      </c>
      <c r="CR82">
        <f t="shared" si="86"/>
        <v>0</v>
      </c>
      <c r="CS82">
        <f t="shared" si="87"/>
        <v>0</v>
      </c>
      <c r="CT82">
        <f t="shared" si="88"/>
        <v>183.92</v>
      </c>
      <c r="CU82">
        <f t="shared" si="89"/>
        <v>0</v>
      </c>
      <c r="CV82">
        <f t="shared" si="90"/>
        <v>0.46799999999999997</v>
      </c>
      <c r="CW82">
        <f t="shared" si="91"/>
        <v>0</v>
      </c>
      <c r="CX82">
        <f t="shared" si="92"/>
        <v>0</v>
      </c>
      <c r="CY82">
        <f t="shared" si="93"/>
        <v>14007.054800000002</v>
      </c>
      <c r="CZ82">
        <f t="shared" si="94"/>
        <v>8445.4300999999996</v>
      </c>
      <c r="DC82" t="s">
        <v>3</v>
      </c>
      <c r="DD82" t="s">
        <v>3</v>
      </c>
      <c r="DE82" t="s">
        <v>3</v>
      </c>
      <c r="DF82" t="s">
        <v>3</v>
      </c>
      <c r="DG82" t="s">
        <v>147</v>
      </c>
      <c r="DH82" t="s">
        <v>3</v>
      </c>
      <c r="DI82" t="s">
        <v>147</v>
      </c>
      <c r="DJ82" t="s">
        <v>3</v>
      </c>
      <c r="DK82" t="s">
        <v>3</v>
      </c>
      <c r="DL82" t="s">
        <v>3</v>
      </c>
      <c r="DM82" t="s">
        <v>3</v>
      </c>
      <c r="DN82">
        <v>75</v>
      </c>
      <c r="DO82">
        <v>70</v>
      </c>
      <c r="DP82">
        <v>1</v>
      </c>
      <c r="DQ82">
        <v>1</v>
      </c>
      <c r="DU82">
        <v>1013</v>
      </c>
      <c r="DV82" t="s">
        <v>183</v>
      </c>
      <c r="DW82" t="s">
        <v>183</v>
      </c>
      <c r="DX82">
        <v>1</v>
      </c>
      <c r="DZ82" t="s">
        <v>3</v>
      </c>
      <c r="EA82" t="s">
        <v>3</v>
      </c>
      <c r="EB82" t="s">
        <v>3</v>
      </c>
      <c r="EC82" t="s">
        <v>3</v>
      </c>
      <c r="EE82">
        <v>22827222</v>
      </c>
      <c r="EF82">
        <v>50</v>
      </c>
      <c r="EG82" t="s">
        <v>148</v>
      </c>
      <c r="EH82">
        <v>0</v>
      </c>
      <c r="EI82" t="s">
        <v>3</v>
      </c>
      <c r="EJ82">
        <v>4</v>
      </c>
      <c r="EK82">
        <v>381</v>
      </c>
      <c r="EL82" t="s">
        <v>149</v>
      </c>
      <c r="EM82" t="s">
        <v>150</v>
      </c>
      <c r="EO82" t="s">
        <v>151</v>
      </c>
      <c r="EQ82">
        <v>0</v>
      </c>
      <c r="ER82">
        <v>5.7</v>
      </c>
      <c r="ES82">
        <v>0</v>
      </c>
      <c r="ET82">
        <v>0</v>
      </c>
      <c r="EU82">
        <v>0</v>
      </c>
      <c r="EV82">
        <v>5.7</v>
      </c>
      <c r="EW82">
        <v>0.36</v>
      </c>
      <c r="EX82">
        <v>0</v>
      </c>
      <c r="EY82">
        <v>0</v>
      </c>
      <c r="FQ82">
        <v>0</v>
      </c>
      <c r="FR82">
        <f t="shared" si="95"/>
        <v>0</v>
      </c>
      <c r="FS82">
        <v>0</v>
      </c>
      <c r="FX82">
        <v>75</v>
      </c>
      <c r="FY82">
        <v>70</v>
      </c>
      <c r="GA82" t="s">
        <v>3</v>
      </c>
      <c r="GD82">
        <v>0</v>
      </c>
      <c r="GF82">
        <v>-2003263557</v>
      </c>
      <c r="GG82">
        <v>2</v>
      </c>
      <c r="GH82">
        <v>1</v>
      </c>
      <c r="GI82">
        <v>2</v>
      </c>
      <c r="GJ82">
        <v>0</v>
      </c>
      <c r="GK82">
        <f>ROUND(R82*(R12)/100,2)</f>
        <v>0</v>
      </c>
      <c r="GL82">
        <f t="shared" si="96"/>
        <v>0</v>
      </c>
      <c r="GM82">
        <f t="shared" si="97"/>
        <v>43051.09</v>
      </c>
      <c r="GN82">
        <f t="shared" si="98"/>
        <v>0</v>
      </c>
      <c r="GO82">
        <f t="shared" si="99"/>
        <v>0</v>
      </c>
      <c r="GP82">
        <f t="shared" si="100"/>
        <v>43051.09</v>
      </c>
      <c r="GR82">
        <v>0</v>
      </c>
      <c r="GS82">
        <v>0</v>
      </c>
      <c r="GT82">
        <v>0</v>
      </c>
      <c r="GU82" t="s">
        <v>3</v>
      </c>
      <c r="GV82">
        <f t="shared" si="101"/>
        <v>0</v>
      </c>
      <c r="GW82">
        <v>1</v>
      </c>
      <c r="GX82">
        <f t="shared" si="102"/>
        <v>0</v>
      </c>
      <c r="HA82">
        <v>0</v>
      </c>
      <c r="HB82">
        <v>0</v>
      </c>
      <c r="HC82">
        <f t="shared" si="103"/>
        <v>0</v>
      </c>
      <c r="HE82" t="s">
        <v>3</v>
      </c>
      <c r="HF82" t="s">
        <v>3</v>
      </c>
      <c r="IK82">
        <v>0</v>
      </c>
    </row>
    <row r="83" spans="1:245" x14ac:dyDescent="0.2">
      <c r="A83">
        <v>17</v>
      </c>
      <c r="B83">
        <v>1</v>
      </c>
      <c r="E83" t="s">
        <v>185</v>
      </c>
      <c r="F83" t="s">
        <v>186</v>
      </c>
      <c r="G83" t="s">
        <v>187</v>
      </c>
      <c r="H83" t="s">
        <v>183</v>
      </c>
      <c r="I83">
        <v>28</v>
      </c>
      <c r="J83">
        <v>0</v>
      </c>
      <c r="O83">
        <f t="shared" si="64"/>
        <v>1427.4</v>
      </c>
      <c r="P83">
        <f t="shared" si="65"/>
        <v>0</v>
      </c>
      <c r="Q83">
        <f t="shared" si="66"/>
        <v>0</v>
      </c>
      <c r="R83">
        <f t="shared" si="67"/>
        <v>0</v>
      </c>
      <c r="S83">
        <f t="shared" si="68"/>
        <v>1427.4</v>
      </c>
      <c r="T83">
        <f t="shared" si="69"/>
        <v>0</v>
      </c>
      <c r="U83">
        <f t="shared" si="70"/>
        <v>3.64</v>
      </c>
      <c r="V83">
        <f t="shared" si="71"/>
        <v>0</v>
      </c>
      <c r="W83">
        <f t="shared" si="72"/>
        <v>0</v>
      </c>
      <c r="X83">
        <f t="shared" si="73"/>
        <v>970.63</v>
      </c>
      <c r="Y83">
        <f t="shared" si="74"/>
        <v>585.23</v>
      </c>
      <c r="AA83">
        <v>23440596</v>
      </c>
      <c r="AB83">
        <f t="shared" si="75"/>
        <v>2.0539999999999998</v>
      </c>
      <c r="AC83">
        <f t="shared" si="76"/>
        <v>0</v>
      </c>
      <c r="AD83">
        <f t="shared" si="77"/>
        <v>0</v>
      </c>
      <c r="AE83">
        <f t="shared" si="78"/>
        <v>0</v>
      </c>
      <c r="AF83">
        <f t="shared" si="79"/>
        <v>2.0539999999999998</v>
      </c>
      <c r="AG83">
        <f t="shared" si="80"/>
        <v>0</v>
      </c>
      <c r="AH83">
        <f t="shared" si="81"/>
        <v>0.13</v>
      </c>
      <c r="AI83">
        <f t="shared" si="82"/>
        <v>0</v>
      </c>
      <c r="AJ83">
        <f t="shared" si="83"/>
        <v>0</v>
      </c>
      <c r="AK83">
        <v>1.58</v>
      </c>
      <c r="AL83">
        <v>0</v>
      </c>
      <c r="AM83">
        <v>0</v>
      </c>
      <c r="AN83">
        <v>0</v>
      </c>
      <c r="AO83">
        <v>1.58</v>
      </c>
      <c r="AP83">
        <v>0</v>
      </c>
      <c r="AQ83">
        <v>0.1</v>
      </c>
      <c r="AR83">
        <v>0</v>
      </c>
      <c r="AS83">
        <v>0</v>
      </c>
      <c r="AT83">
        <v>68</v>
      </c>
      <c r="AU83">
        <v>41</v>
      </c>
      <c r="AV83">
        <v>1</v>
      </c>
      <c r="AW83">
        <v>1</v>
      </c>
      <c r="AZ83">
        <v>1</v>
      </c>
      <c r="BA83">
        <v>24.82</v>
      </c>
      <c r="BB83">
        <v>1</v>
      </c>
      <c r="BC83">
        <v>1</v>
      </c>
      <c r="BD83" t="s">
        <v>3</v>
      </c>
      <c r="BE83" t="s">
        <v>3</v>
      </c>
      <c r="BF83" t="s">
        <v>3</v>
      </c>
      <c r="BG83" t="s">
        <v>3</v>
      </c>
      <c r="BH83">
        <v>0</v>
      </c>
      <c r="BI83">
        <v>4</v>
      </c>
      <c r="BJ83" t="s">
        <v>188</v>
      </c>
      <c r="BM83">
        <v>381</v>
      </c>
      <c r="BN83">
        <v>0</v>
      </c>
      <c r="BO83" t="s">
        <v>3</v>
      </c>
      <c r="BP83">
        <v>0</v>
      </c>
      <c r="BQ83">
        <v>50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68</v>
      </c>
      <c r="CA83">
        <v>41</v>
      </c>
      <c r="CE83">
        <v>30</v>
      </c>
      <c r="CF83">
        <v>0</v>
      </c>
      <c r="CG83">
        <v>0</v>
      </c>
      <c r="CM83">
        <v>0</v>
      </c>
      <c r="CN83" t="s">
        <v>146</v>
      </c>
      <c r="CO83">
        <v>0</v>
      </c>
      <c r="CP83">
        <f t="shared" si="84"/>
        <v>1427.4</v>
      </c>
      <c r="CQ83">
        <f t="shared" si="85"/>
        <v>0</v>
      </c>
      <c r="CR83">
        <f t="shared" si="86"/>
        <v>0</v>
      </c>
      <c r="CS83">
        <f t="shared" si="87"/>
        <v>0</v>
      </c>
      <c r="CT83">
        <f t="shared" si="88"/>
        <v>50.88</v>
      </c>
      <c r="CU83">
        <f t="shared" si="89"/>
        <v>0</v>
      </c>
      <c r="CV83">
        <f t="shared" si="90"/>
        <v>0.13</v>
      </c>
      <c r="CW83">
        <f t="shared" si="91"/>
        <v>0</v>
      </c>
      <c r="CX83">
        <f t="shared" si="92"/>
        <v>0</v>
      </c>
      <c r="CY83">
        <f t="shared" si="93"/>
        <v>970.63200000000018</v>
      </c>
      <c r="CZ83">
        <f t="shared" si="94"/>
        <v>585.23400000000004</v>
      </c>
      <c r="DC83" t="s">
        <v>3</v>
      </c>
      <c r="DD83" t="s">
        <v>3</v>
      </c>
      <c r="DE83" t="s">
        <v>3</v>
      </c>
      <c r="DF83" t="s">
        <v>3</v>
      </c>
      <c r="DG83" t="s">
        <v>147</v>
      </c>
      <c r="DH83" t="s">
        <v>3</v>
      </c>
      <c r="DI83" t="s">
        <v>147</v>
      </c>
      <c r="DJ83" t="s">
        <v>3</v>
      </c>
      <c r="DK83" t="s">
        <v>3</v>
      </c>
      <c r="DL83" t="s">
        <v>3</v>
      </c>
      <c r="DM83" t="s">
        <v>3</v>
      </c>
      <c r="DN83">
        <v>75</v>
      </c>
      <c r="DO83">
        <v>70</v>
      </c>
      <c r="DP83">
        <v>1</v>
      </c>
      <c r="DQ83">
        <v>1</v>
      </c>
      <c r="DU83">
        <v>1013</v>
      </c>
      <c r="DV83" t="s">
        <v>183</v>
      </c>
      <c r="DW83" t="s">
        <v>183</v>
      </c>
      <c r="DX83">
        <v>1</v>
      </c>
      <c r="DZ83" t="s">
        <v>3</v>
      </c>
      <c r="EA83" t="s">
        <v>3</v>
      </c>
      <c r="EB83" t="s">
        <v>3</v>
      </c>
      <c r="EC83" t="s">
        <v>3</v>
      </c>
      <c r="EE83">
        <v>22827222</v>
      </c>
      <c r="EF83">
        <v>50</v>
      </c>
      <c r="EG83" t="s">
        <v>148</v>
      </c>
      <c r="EH83">
        <v>0</v>
      </c>
      <c r="EI83" t="s">
        <v>3</v>
      </c>
      <c r="EJ83">
        <v>4</v>
      </c>
      <c r="EK83">
        <v>381</v>
      </c>
      <c r="EL83" t="s">
        <v>149</v>
      </c>
      <c r="EM83" t="s">
        <v>150</v>
      </c>
      <c r="EO83" t="s">
        <v>151</v>
      </c>
      <c r="EQ83">
        <v>0</v>
      </c>
      <c r="ER83">
        <v>1.58</v>
      </c>
      <c r="ES83">
        <v>0</v>
      </c>
      <c r="ET83">
        <v>0</v>
      </c>
      <c r="EU83">
        <v>0</v>
      </c>
      <c r="EV83">
        <v>1.58</v>
      </c>
      <c r="EW83">
        <v>0.1</v>
      </c>
      <c r="EX83">
        <v>0</v>
      </c>
      <c r="EY83">
        <v>0</v>
      </c>
      <c r="FQ83">
        <v>0</v>
      </c>
      <c r="FR83">
        <f t="shared" si="95"/>
        <v>0</v>
      </c>
      <c r="FS83">
        <v>0</v>
      </c>
      <c r="FX83">
        <v>75</v>
      </c>
      <c r="FY83">
        <v>70</v>
      </c>
      <c r="GA83" t="s">
        <v>3</v>
      </c>
      <c r="GD83">
        <v>0</v>
      </c>
      <c r="GF83">
        <v>730104558</v>
      </c>
      <c r="GG83">
        <v>2</v>
      </c>
      <c r="GH83">
        <v>1</v>
      </c>
      <c r="GI83">
        <v>2</v>
      </c>
      <c r="GJ83">
        <v>0</v>
      </c>
      <c r="GK83">
        <f>ROUND(R83*(R12)/100,2)</f>
        <v>0</v>
      </c>
      <c r="GL83">
        <f t="shared" si="96"/>
        <v>0</v>
      </c>
      <c r="GM83">
        <f t="shared" si="97"/>
        <v>2983.26</v>
      </c>
      <c r="GN83">
        <f t="shared" si="98"/>
        <v>0</v>
      </c>
      <c r="GO83">
        <f t="shared" si="99"/>
        <v>0</v>
      </c>
      <c r="GP83">
        <f t="shared" si="100"/>
        <v>2983.26</v>
      </c>
      <c r="GR83">
        <v>0</v>
      </c>
      <c r="GS83">
        <v>0</v>
      </c>
      <c r="GT83">
        <v>0</v>
      </c>
      <c r="GU83" t="s">
        <v>3</v>
      </c>
      <c r="GV83">
        <f t="shared" si="101"/>
        <v>0</v>
      </c>
      <c r="GW83">
        <v>1</v>
      </c>
      <c r="GX83">
        <f t="shared" si="102"/>
        <v>0</v>
      </c>
      <c r="HA83">
        <v>0</v>
      </c>
      <c r="HB83">
        <v>0</v>
      </c>
      <c r="HC83">
        <f t="shared" si="103"/>
        <v>0</v>
      </c>
      <c r="HE83" t="s">
        <v>3</v>
      </c>
      <c r="HF83" t="s">
        <v>3</v>
      </c>
      <c r="IK83">
        <v>0</v>
      </c>
    </row>
    <row r="84" spans="1:245" x14ac:dyDescent="0.2">
      <c r="A84">
        <v>17</v>
      </c>
      <c r="B84">
        <v>1</v>
      </c>
      <c r="E84" t="s">
        <v>189</v>
      </c>
      <c r="F84" t="s">
        <v>190</v>
      </c>
      <c r="G84" t="s">
        <v>191</v>
      </c>
      <c r="H84" t="s">
        <v>183</v>
      </c>
      <c r="I84">
        <v>28</v>
      </c>
      <c r="J84">
        <v>0</v>
      </c>
      <c r="O84">
        <f t="shared" si="64"/>
        <v>6432.6</v>
      </c>
      <c r="P84">
        <f t="shared" si="65"/>
        <v>0</v>
      </c>
      <c r="Q84">
        <f t="shared" si="66"/>
        <v>0</v>
      </c>
      <c r="R84">
        <f t="shared" si="67"/>
        <v>0</v>
      </c>
      <c r="S84">
        <f t="shared" si="68"/>
        <v>6432.6</v>
      </c>
      <c r="T84">
        <f t="shared" si="69"/>
        <v>0</v>
      </c>
      <c r="U84">
        <f t="shared" si="70"/>
        <v>16.380000000000003</v>
      </c>
      <c r="V84">
        <f t="shared" si="71"/>
        <v>0</v>
      </c>
      <c r="W84">
        <f t="shared" si="72"/>
        <v>0</v>
      </c>
      <c r="X84">
        <f t="shared" si="73"/>
        <v>4374.17</v>
      </c>
      <c r="Y84">
        <f t="shared" si="74"/>
        <v>2637.37</v>
      </c>
      <c r="AA84">
        <v>23440596</v>
      </c>
      <c r="AB84">
        <f t="shared" si="75"/>
        <v>9.2560000000000002</v>
      </c>
      <c r="AC84">
        <f t="shared" si="76"/>
        <v>0</v>
      </c>
      <c r="AD84">
        <f t="shared" si="77"/>
        <v>0</v>
      </c>
      <c r="AE84">
        <f t="shared" si="78"/>
        <v>0</v>
      </c>
      <c r="AF84">
        <f t="shared" si="79"/>
        <v>9.2560000000000002</v>
      </c>
      <c r="AG84">
        <f t="shared" si="80"/>
        <v>0</v>
      </c>
      <c r="AH84">
        <f t="shared" si="81"/>
        <v>0.58500000000000008</v>
      </c>
      <c r="AI84">
        <f t="shared" si="82"/>
        <v>0</v>
      </c>
      <c r="AJ84">
        <f t="shared" si="83"/>
        <v>0</v>
      </c>
      <c r="AK84">
        <v>7.12</v>
      </c>
      <c r="AL84">
        <v>0</v>
      </c>
      <c r="AM84">
        <v>0</v>
      </c>
      <c r="AN84">
        <v>0</v>
      </c>
      <c r="AO84">
        <v>7.12</v>
      </c>
      <c r="AP84">
        <v>0</v>
      </c>
      <c r="AQ84">
        <v>0.45</v>
      </c>
      <c r="AR84">
        <v>0</v>
      </c>
      <c r="AS84">
        <v>0</v>
      </c>
      <c r="AT84">
        <v>68</v>
      </c>
      <c r="AU84">
        <v>41</v>
      </c>
      <c r="AV84">
        <v>1</v>
      </c>
      <c r="AW84">
        <v>1</v>
      </c>
      <c r="AZ84">
        <v>1</v>
      </c>
      <c r="BA84">
        <v>24.82</v>
      </c>
      <c r="BB84">
        <v>1</v>
      </c>
      <c r="BC84">
        <v>1</v>
      </c>
      <c r="BD84" t="s">
        <v>3</v>
      </c>
      <c r="BE84" t="s">
        <v>3</v>
      </c>
      <c r="BF84" t="s">
        <v>3</v>
      </c>
      <c r="BG84" t="s">
        <v>3</v>
      </c>
      <c r="BH84">
        <v>0</v>
      </c>
      <c r="BI84">
        <v>4</v>
      </c>
      <c r="BJ84" t="s">
        <v>192</v>
      </c>
      <c r="BM84">
        <v>381</v>
      </c>
      <c r="BN84">
        <v>0</v>
      </c>
      <c r="BO84" t="s">
        <v>3</v>
      </c>
      <c r="BP84">
        <v>0</v>
      </c>
      <c r="BQ84">
        <v>50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68</v>
      </c>
      <c r="CA84">
        <v>41</v>
      </c>
      <c r="CE84">
        <v>30</v>
      </c>
      <c r="CF84">
        <v>0</v>
      </c>
      <c r="CG84">
        <v>0</v>
      </c>
      <c r="CM84">
        <v>0</v>
      </c>
      <c r="CN84" t="s">
        <v>146</v>
      </c>
      <c r="CO84">
        <v>0</v>
      </c>
      <c r="CP84">
        <f t="shared" si="84"/>
        <v>6432.6</v>
      </c>
      <c r="CQ84">
        <f t="shared" si="85"/>
        <v>0</v>
      </c>
      <c r="CR84">
        <f t="shared" si="86"/>
        <v>0</v>
      </c>
      <c r="CS84">
        <f t="shared" si="87"/>
        <v>0</v>
      </c>
      <c r="CT84">
        <f t="shared" si="88"/>
        <v>229.83</v>
      </c>
      <c r="CU84">
        <f t="shared" si="89"/>
        <v>0</v>
      </c>
      <c r="CV84">
        <f t="shared" si="90"/>
        <v>0.58500000000000008</v>
      </c>
      <c r="CW84">
        <f t="shared" si="91"/>
        <v>0</v>
      </c>
      <c r="CX84">
        <f t="shared" si="92"/>
        <v>0</v>
      </c>
      <c r="CY84">
        <f t="shared" si="93"/>
        <v>4374.1680000000006</v>
      </c>
      <c r="CZ84">
        <f t="shared" si="94"/>
        <v>2637.366</v>
      </c>
      <c r="DC84" t="s">
        <v>3</v>
      </c>
      <c r="DD84" t="s">
        <v>3</v>
      </c>
      <c r="DE84" t="s">
        <v>3</v>
      </c>
      <c r="DF84" t="s">
        <v>3</v>
      </c>
      <c r="DG84" t="s">
        <v>147</v>
      </c>
      <c r="DH84" t="s">
        <v>3</v>
      </c>
      <c r="DI84" t="s">
        <v>147</v>
      </c>
      <c r="DJ84" t="s">
        <v>3</v>
      </c>
      <c r="DK84" t="s">
        <v>3</v>
      </c>
      <c r="DL84" t="s">
        <v>3</v>
      </c>
      <c r="DM84" t="s">
        <v>3</v>
      </c>
      <c r="DN84">
        <v>75</v>
      </c>
      <c r="DO84">
        <v>70</v>
      </c>
      <c r="DP84">
        <v>1</v>
      </c>
      <c r="DQ84">
        <v>1</v>
      </c>
      <c r="DU84">
        <v>1013</v>
      </c>
      <c r="DV84" t="s">
        <v>183</v>
      </c>
      <c r="DW84" t="s">
        <v>183</v>
      </c>
      <c r="DX84">
        <v>1</v>
      </c>
      <c r="DZ84" t="s">
        <v>3</v>
      </c>
      <c r="EA84" t="s">
        <v>3</v>
      </c>
      <c r="EB84" t="s">
        <v>3</v>
      </c>
      <c r="EC84" t="s">
        <v>3</v>
      </c>
      <c r="EE84">
        <v>22827222</v>
      </c>
      <c r="EF84">
        <v>50</v>
      </c>
      <c r="EG84" t="s">
        <v>148</v>
      </c>
      <c r="EH84">
        <v>0</v>
      </c>
      <c r="EI84" t="s">
        <v>3</v>
      </c>
      <c r="EJ84">
        <v>4</v>
      </c>
      <c r="EK84">
        <v>381</v>
      </c>
      <c r="EL84" t="s">
        <v>149</v>
      </c>
      <c r="EM84" t="s">
        <v>150</v>
      </c>
      <c r="EO84" t="s">
        <v>151</v>
      </c>
      <c r="EQ84">
        <v>0</v>
      </c>
      <c r="ER84">
        <v>7.12</v>
      </c>
      <c r="ES84">
        <v>0</v>
      </c>
      <c r="ET84">
        <v>0</v>
      </c>
      <c r="EU84">
        <v>0</v>
      </c>
      <c r="EV84">
        <v>7.12</v>
      </c>
      <c r="EW84">
        <v>0.45</v>
      </c>
      <c r="EX84">
        <v>0</v>
      </c>
      <c r="EY84">
        <v>0</v>
      </c>
      <c r="FQ84">
        <v>0</v>
      </c>
      <c r="FR84">
        <f t="shared" si="95"/>
        <v>0</v>
      </c>
      <c r="FS84">
        <v>0</v>
      </c>
      <c r="FX84">
        <v>75</v>
      </c>
      <c r="FY84">
        <v>70</v>
      </c>
      <c r="GA84" t="s">
        <v>3</v>
      </c>
      <c r="GD84">
        <v>0</v>
      </c>
      <c r="GF84">
        <v>-1143142764</v>
      </c>
      <c r="GG84">
        <v>2</v>
      </c>
      <c r="GH84">
        <v>1</v>
      </c>
      <c r="GI84">
        <v>2</v>
      </c>
      <c r="GJ84">
        <v>0</v>
      </c>
      <c r="GK84">
        <f>ROUND(R84*(R12)/100,2)</f>
        <v>0</v>
      </c>
      <c r="GL84">
        <f t="shared" si="96"/>
        <v>0</v>
      </c>
      <c r="GM84">
        <f t="shared" si="97"/>
        <v>13444.14</v>
      </c>
      <c r="GN84">
        <f t="shared" si="98"/>
        <v>0</v>
      </c>
      <c r="GO84">
        <f t="shared" si="99"/>
        <v>0</v>
      </c>
      <c r="GP84">
        <f t="shared" si="100"/>
        <v>13444.14</v>
      </c>
      <c r="GR84">
        <v>0</v>
      </c>
      <c r="GS84">
        <v>0</v>
      </c>
      <c r="GT84">
        <v>0</v>
      </c>
      <c r="GU84" t="s">
        <v>3</v>
      </c>
      <c r="GV84">
        <f t="shared" si="101"/>
        <v>0</v>
      </c>
      <c r="GW84">
        <v>1</v>
      </c>
      <c r="GX84">
        <f t="shared" si="102"/>
        <v>0</v>
      </c>
      <c r="HA84">
        <v>0</v>
      </c>
      <c r="HB84">
        <v>0</v>
      </c>
      <c r="HC84">
        <f t="shared" si="103"/>
        <v>0</v>
      </c>
      <c r="HE84" t="s">
        <v>3</v>
      </c>
      <c r="HF84" t="s">
        <v>3</v>
      </c>
      <c r="IK84">
        <v>0</v>
      </c>
    </row>
    <row r="86" spans="1:245" x14ac:dyDescent="0.2">
      <c r="A86" s="2">
        <v>51</v>
      </c>
      <c r="B86" s="2">
        <f>B71</f>
        <v>1</v>
      </c>
      <c r="C86" s="2">
        <f>A71</f>
        <v>4</v>
      </c>
      <c r="D86" s="2">
        <f>ROW(A71)</f>
        <v>71</v>
      </c>
      <c r="E86" s="2"/>
      <c r="F86" s="2" t="str">
        <f>IF(F71&lt;&gt;"",F71,"")</f>
        <v>Новый раздел</v>
      </c>
      <c r="G86" s="2" t="str">
        <f>IF(G71&lt;&gt;"",G71,"")</f>
        <v>Пусконаладочные работы.</v>
      </c>
      <c r="H86" s="2">
        <v>0</v>
      </c>
      <c r="I86" s="2"/>
      <c r="J86" s="2"/>
      <c r="K86" s="2"/>
      <c r="L86" s="2"/>
      <c r="M86" s="2"/>
      <c r="N86" s="2"/>
      <c r="O86" s="2">
        <f t="shared" ref="O86:T86" si="104">ROUND(AB86,2)</f>
        <v>135813.21</v>
      </c>
      <c r="P86" s="2">
        <f t="shared" si="104"/>
        <v>0</v>
      </c>
      <c r="Q86" s="2">
        <f t="shared" si="104"/>
        <v>0</v>
      </c>
      <c r="R86" s="2">
        <f t="shared" si="104"/>
        <v>0</v>
      </c>
      <c r="S86" s="2">
        <f t="shared" si="104"/>
        <v>135813.21</v>
      </c>
      <c r="T86" s="2">
        <f t="shared" si="104"/>
        <v>0</v>
      </c>
      <c r="U86" s="2">
        <f>AH86</f>
        <v>352.32599999999996</v>
      </c>
      <c r="V86" s="2">
        <f>AI86</f>
        <v>0</v>
      </c>
      <c r="W86" s="2">
        <f>ROUND(AJ86,2)</f>
        <v>0</v>
      </c>
      <c r="X86" s="2">
        <f>ROUND(AK86,2)</f>
        <v>92352.97</v>
      </c>
      <c r="Y86" s="2">
        <f>ROUND(AL86,2)</f>
        <v>55683.41</v>
      </c>
      <c r="Z86" s="2"/>
      <c r="AA86" s="2"/>
      <c r="AB86" s="2">
        <f>ROUND(SUMIF(AA75:AA84,"=23440596",O75:O84),2)</f>
        <v>135813.21</v>
      </c>
      <c r="AC86" s="2">
        <f>ROUND(SUMIF(AA75:AA84,"=23440596",P75:P84),2)</f>
        <v>0</v>
      </c>
      <c r="AD86" s="2">
        <f>ROUND(SUMIF(AA75:AA84,"=23440596",Q75:Q84),2)</f>
        <v>0</v>
      </c>
      <c r="AE86" s="2">
        <f>ROUND(SUMIF(AA75:AA84,"=23440596",R75:R84),2)</f>
        <v>0</v>
      </c>
      <c r="AF86" s="2">
        <f>ROUND(SUMIF(AA75:AA84,"=23440596",S75:S84),2)</f>
        <v>135813.21</v>
      </c>
      <c r="AG86" s="2">
        <f>ROUND(SUMIF(AA75:AA84,"=23440596",T75:T84),2)</f>
        <v>0</v>
      </c>
      <c r="AH86" s="2">
        <f>SUMIF(AA75:AA84,"=23440596",U75:U84)</f>
        <v>352.32599999999996</v>
      </c>
      <c r="AI86" s="2">
        <f>SUMIF(AA75:AA84,"=23440596",V75:V84)</f>
        <v>0</v>
      </c>
      <c r="AJ86" s="2">
        <f>ROUND(SUMIF(AA75:AA84,"=23440596",W75:W84),2)</f>
        <v>0</v>
      </c>
      <c r="AK86" s="2">
        <f>ROUND(SUMIF(AA75:AA84,"=23440596",X75:X84),2)</f>
        <v>92352.97</v>
      </c>
      <c r="AL86" s="2">
        <f>ROUND(SUMIF(AA75:AA84,"=23440596",Y75:Y84),2)</f>
        <v>55683.41</v>
      </c>
      <c r="AM86" s="2"/>
      <c r="AN86" s="2"/>
      <c r="AO86" s="2">
        <f t="shared" ref="AO86:BD86" si="105">ROUND(BX86,2)</f>
        <v>0</v>
      </c>
      <c r="AP86" s="2">
        <f t="shared" si="105"/>
        <v>0</v>
      </c>
      <c r="AQ86" s="2">
        <f t="shared" si="105"/>
        <v>0</v>
      </c>
      <c r="AR86" s="2">
        <f t="shared" si="105"/>
        <v>283849.59000000003</v>
      </c>
      <c r="AS86" s="2">
        <f t="shared" si="105"/>
        <v>0</v>
      </c>
      <c r="AT86" s="2">
        <f t="shared" si="105"/>
        <v>0</v>
      </c>
      <c r="AU86" s="2">
        <f t="shared" si="105"/>
        <v>283849.59000000003</v>
      </c>
      <c r="AV86" s="2">
        <f t="shared" si="105"/>
        <v>0</v>
      </c>
      <c r="AW86" s="2">
        <f t="shared" si="105"/>
        <v>0</v>
      </c>
      <c r="AX86" s="2">
        <f t="shared" si="105"/>
        <v>0</v>
      </c>
      <c r="AY86" s="2">
        <f t="shared" si="105"/>
        <v>0</v>
      </c>
      <c r="AZ86" s="2">
        <f t="shared" si="105"/>
        <v>0</v>
      </c>
      <c r="BA86" s="2">
        <f t="shared" si="105"/>
        <v>0</v>
      </c>
      <c r="BB86" s="2">
        <f t="shared" si="105"/>
        <v>0</v>
      </c>
      <c r="BC86" s="2">
        <f t="shared" si="105"/>
        <v>0</v>
      </c>
      <c r="BD86" s="2">
        <f t="shared" si="105"/>
        <v>0</v>
      </c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>
        <f>ROUND(SUMIF(AA75:AA84,"=23440596",FQ75:FQ84),2)</f>
        <v>0</v>
      </c>
      <c r="BY86" s="2">
        <f>ROUND(SUMIF(AA75:AA84,"=23440596",FR75:FR84),2)</f>
        <v>0</v>
      </c>
      <c r="BZ86" s="2">
        <f>ROUND(SUMIF(AA75:AA84,"=23440596",GL75:GL84),2)</f>
        <v>0</v>
      </c>
      <c r="CA86" s="2">
        <f>ROUND(SUMIF(AA75:AA84,"=23440596",GM75:GM84),2)</f>
        <v>283849.59000000003</v>
      </c>
      <c r="CB86" s="2">
        <f>ROUND(SUMIF(AA75:AA84,"=23440596",GN75:GN84),2)</f>
        <v>0</v>
      </c>
      <c r="CC86" s="2">
        <f>ROUND(SUMIF(AA75:AA84,"=23440596",GO75:GO84),2)</f>
        <v>0</v>
      </c>
      <c r="CD86" s="2">
        <f>ROUND(SUMIF(AA75:AA84,"=23440596",GP75:GP84),2)</f>
        <v>283849.59000000003</v>
      </c>
      <c r="CE86" s="2">
        <f>AC86-BX86</f>
        <v>0</v>
      </c>
      <c r="CF86" s="2">
        <f>AC86-BY86</f>
        <v>0</v>
      </c>
      <c r="CG86" s="2">
        <f>BX86-BZ86</f>
        <v>0</v>
      </c>
      <c r="CH86" s="2">
        <f>AC86-BX86-BY86+BZ86</f>
        <v>0</v>
      </c>
      <c r="CI86" s="2">
        <f>BY86-BZ86</f>
        <v>0</v>
      </c>
      <c r="CJ86" s="2">
        <f>ROUND(SUMIF(AA75:AA84,"=23440596",GX75:GX84),2)</f>
        <v>0</v>
      </c>
      <c r="CK86" s="2">
        <f>ROUND(SUMIF(AA75:AA84,"=23440596",GY75:GY84),2)</f>
        <v>0</v>
      </c>
      <c r="CL86" s="2">
        <f>ROUND(SUMIF(AA75:AA84,"=23440596",GZ75:GZ84),2)</f>
        <v>0</v>
      </c>
      <c r="CM86" s="2">
        <f>ROUND(SUMIF(AA75:AA84,"=23440596",HD75:HD84),2)</f>
        <v>0</v>
      </c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>
        <v>0</v>
      </c>
    </row>
    <row r="88" spans="1:245" x14ac:dyDescent="0.2">
      <c r="A88" s="4">
        <v>50</v>
      </c>
      <c r="B88" s="4">
        <v>0</v>
      </c>
      <c r="C88" s="4">
        <v>0</v>
      </c>
      <c r="D88" s="4">
        <v>1</v>
      </c>
      <c r="E88" s="4">
        <v>201</v>
      </c>
      <c r="F88" s="4">
        <f>ROUND(Source!O86,O88)</f>
        <v>135813.21</v>
      </c>
      <c r="G88" s="4" t="s">
        <v>87</v>
      </c>
      <c r="H88" s="4" t="s">
        <v>88</v>
      </c>
      <c r="I88" s="4"/>
      <c r="J88" s="4"/>
      <c r="K88" s="4">
        <v>201</v>
      </c>
      <c r="L88" s="4">
        <v>1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45" x14ac:dyDescent="0.2">
      <c r="A89" s="4">
        <v>50</v>
      </c>
      <c r="B89" s="4">
        <v>0</v>
      </c>
      <c r="C89" s="4">
        <v>0</v>
      </c>
      <c r="D89" s="4">
        <v>1</v>
      </c>
      <c r="E89" s="4">
        <v>202</v>
      </c>
      <c r="F89" s="4">
        <f>ROUND(Source!P86,O89)</f>
        <v>0</v>
      </c>
      <c r="G89" s="4" t="s">
        <v>89</v>
      </c>
      <c r="H89" s="4" t="s">
        <v>90</v>
      </c>
      <c r="I89" s="4"/>
      <c r="J89" s="4"/>
      <c r="K89" s="4">
        <v>202</v>
      </c>
      <c r="L89" s="4">
        <v>2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45" x14ac:dyDescent="0.2">
      <c r="A90" s="4">
        <v>50</v>
      </c>
      <c r="B90" s="4">
        <v>0</v>
      </c>
      <c r="C90" s="4">
        <v>0</v>
      </c>
      <c r="D90" s="4">
        <v>1</v>
      </c>
      <c r="E90" s="4">
        <v>222</v>
      </c>
      <c r="F90" s="4">
        <f>ROUND(Source!AO86,O90)</f>
        <v>0</v>
      </c>
      <c r="G90" s="4" t="s">
        <v>91</v>
      </c>
      <c r="H90" s="4" t="s">
        <v>92</v>
      </c>
      <c r="I90" s="4"/>
      <c r="J90" s="4"/>
      <c r="K90" s="4">
        <v>222</v>
      </c>
      <c r="L90" s="4">
        <v>3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45" x14ac:dyDescent="0.2">
      <c r="A91" s="4">
        <v>50</v>
      </c>
      <c r="B91" s="4">
        <v>0</v>
      </c>
      <c r="C91" s="4">
        <v>0</v>
      </c>
      <c r="D91" s="4">
        <v>1</v>
      </c>
      <c r="E91" s="4">
        <v>225</v>
      </c>
      <c r="F91" s="4">
        <f>ROUND(Source!AV86,O91)</f>
        <v>0</v>
      </c>
      <c r="G91" s="4" t="s">
        <v>93</v>
      </c>
      <c r="H91" s="4" t="s">
        <v>94</v>
      </c>
      <c r="I91" s="4"/>
      <c r="J91" s="4"/>
      <c r="K91" s="4">
        <v>225</v>
      </c>
      <c r="L91" s="4">
        <v>4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45" x14ac:dyDescent="0.2">
      <c r="A92" s="4">
        <v>50</v>
      </c>
      <c r="B92" s="4">
        <v>0</v>
      </c>
      <c r="C92" s="4">
        <v>0</v>
      </c>
      <c r="D92" s="4">
        <v>1</v>
      </c>
      <c r="E92" s="4">
        <v>226</v>
      </c>
      <c r="F92" s="4">
        <f>ROUND(Source!AW86,O92)</f>
        <v>0</v>
      </c>
      <c r="G92" s="4" t="s">
        <v>95</v>
      </c>
      <c r="H92" s="4" t="s">
        <v>96</v>
      </c>
      <c r="I92" s="4"/>
      <c r="J92" s="4"/>
      <c r="K92" s="4">
        <v>226</v>
      </c>
      <c r="L92" s="4">
        <v>5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45" x14ac:dyDescent="0.2">
      <c r="A93" s="4">
        <v>50</v>
      </c>
      <c r="B93" s="4">
        <v>0</v>
      </c>
      <c r="C93" s="4">
        <v>0</v>
      </c>
      <c r="D93" s="4">
        <v>1</v>
      </c>
      <c r="E93" s="4">
        <v>227</v>
      </c>
      <c r="F93" s="4">
        <f>ROUND(Source!AX86,O93)</f>
        <v>0</v>
      </c>
      <c r="G93" s="4" t="s">
        <v>97</v>
      </c>
      <c r="H93" s="4" t="s">
        <v>98</v>
      </c>
      <c r="I93" s="4"/>
      <c r="J93" s="4"/>
      <c r="K93" s="4">
        <v>227</v>
      </c>
      <c r="L93" s="4">
        <v>6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45" x14ac:dyDescent="0.2">
      <c r="A94" s="4">
        <v>50</v>
      </c>
      <c r="B94" s="4">
        <v>0</v>
      </c>
      <c r="C94" s="4">
        <v>0</v>
      </c>
      <c r="D94" s="4">
        <v>1</v>
      </c>
      <c r="E94" s="4">
        <v>228</v>
      </c>
      <c r="F94" s="4">
        <f>ROUND(Source!AY86,O94)</f>
        <v>0</v>
      </c>
      <c r="G94" s="4" t="s">
        <v>99</v>
      </c>
      <c r="H94" s="4" t="s">
        <v>100</v>
      </c>
      <c r="I94" s="4"/>
      <c r="J94" s="4"/>
      <c r="K94" s="4">
        <v>228</v>
      </c>
      <c r="L94" s="4">
        <v>7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45" x14ac:dyDescent="0.2">
      <c r="A95" s="4">
        <v>50</v>
      </c>
      <c r="B95" s="4">
        <v>0</v>
      </c>
      <c r="C95" s="4">
        <v>0</v>
      </c>
      <c r="D95" s="4">
        <v>1</v>
      </c>
      <c r="E95" s="4">
        <v>216</v>
      </c>
      <c r="F95" s="4">
        <f>ROUND(Source!AP86,O95)</f>
        <v>0</v>
      </c>
      <c r="G95" s="4" t="s">
        <v>101</v>
      </c>
      <c r="H95" s="4" t="s">
        <v>102</v>
      </c>
      <c r="I95" s="4"/>
      <c r="J95" s="4"/>
      <c r="K95" s="4">
        <v>216</v>
      </c>
      <c r="L95" s="4">
        <v>8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45" x14ac:dyDescent="0.2">
      <c r="A96" s="4">
        <v>50</v>
      </c>
      <c r="B96" s="4">
        <v>0</v>
      </c>
      <c r="C96" s="4">
        <v>0</v>
      </c>
      <c r="D96" s="4">
        <v>1</v>
      </c>
      <c r="E96" s="4">
        <v>223</v>
      </c>
      <c r="F96" s="4">
        <f>ROUND(Source!AQ86,O96)</f>
        <v>0</v>
      </c>
      <c r="G96" s="4" t="s">
        <v>103</v>
      </c>
      <c r="H96" s="4" t="s">
        <v>104</v>
      </c>
      <c r="I96" s="4"/>
      <c r="J96" s="4"/>
      <c r="K96" s="4">
        <v>223</v>
      </c>
      <c r="L96" s="4">
        <v>9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3" x14ac:dyDescent="0.2">
      <c r="A97" s="4">
        <v>50</v>
      </c>
      <c r="B97" s="4">
        <v>0</v>
      </c>
      <c r="C97" s="4">
        <v>0</v>
      </c>
      <c r="D97" s="4">
        <v>1</v>
      </c>
      <c r="E97" s="4">
        <v>229</v>
      </c>
      <c r="F97" s="4">
        <f>ROUND(Source!AZ86,O97)</f>
        <v>0</v>
      </c>
      <c r="G97" s="4" t="s">
        <v>105</v>
      </c>
      <c r="H97" s="4" t="s">
        <v>106</v>
      </c>
      <c r="I97" s="4"/>
      <c r="J97" s="4"/>
      <c r="K97" s="4">
        <v>229</v>
      </c>
      <c r="L97" s="4">
        <v>10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3" x14ac:dyDescent="0.2">
      <c r="A98" s="4">
        <v>50</v>
      </c>
      <c r="B98" s="4">
        <v>0</v>
      </c>
      <c r="C98" s="4">
        <v>0</v>
      </c>
      <c r="D98" s="4">
        <v>1</v>
      </c>
      <c r="E98" s="4">
        <v>203</v>
      </c>
      <c r="F98" s="4">
        <f>ROUND(Source!Q86,O98)</f>
        <v>0</v>
      </c>
      <c r="G98" s="4" t="s">
        <v>107</v>
      </c>
      <c r="H98" s="4" t="s">
        <v>108</v>
      </c>
      <c r="I98" s="4"/>
      <c r="J98" s="4"/>
      <c r="K98" s="4">
        <v>203</v>
      </c>
      <c r="L98" s="4">
        <v>11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 x14ac:dyDescent="0.2">
      <c r="A99" s="4">
        <v>50</v>
      </c>
      <c r="B99" s="4">
        <v>0</v>
      </c>
      <c r="C99" s="4">
        <v>0</v>
      </c>
      <c r="D99" s="4">
        <v>1</v>
      </c>
      <c r="E99" s="4">
        <v>231</v>
      </c>
      <c r="F99" s="4">
        <f>ROUND(Source!BB86,O99)</f>
        <v>0</v>
      </c>
      <c r="G99" s="4" t="s">
        <v>109</v>
      </c>
      <c r="H99" s="4" t="s">
        <v>110</v>
      </c>
      <c r="I99" s="4"/>
      <c r="J99" s="4"/>
      <c r="K99" s="4">
        <v>231</v>
      </c>
      <c r="L99" s="4">
        <v>12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 x14ac:dyDescent="0.2">
      <c r="A100" s="4">
        <v>50</v>
      </c>
      <c r="B100" s="4">
        <v>0</v>
      </c>
      <c r="C100" s="4">
        <v>0</v>
      </c>
      <c r="D100" s="4">
        <v>1</v>
      </c>
      <c r="E100" s="4">
        <v>204</v>
      </c>
      <c r="F100" s="4">
        <f>ROUND(Source!R86,O100)</f>
        <v>0</v>
      </c>
      <c r="G100" s="4" t="s">
        <v>111</v>
      </c>
      <c r="H100" s="4" t="s">
        <v>112</v>
      </c>
      <c r="I100" s="4"/>
      <c r="J100" s="4"/>
      <c r="K100" s="4">
        <v>204</v>
      </c>
      <c r="L100" s="4">
        <v>13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 x14ac:dyDescent="0.2">
      <c r="A101" s="4">
        <v>50</v>
      </c>
      <c r="B101" s="4">
        <v>0</v>
      </c>
      <c r="C101" s="4">
        <v>0</v>
      </c>
      <c r="D101" s="4">
        <v>1</v>
      </c>
      <c r="E101" s="4">
        <v>205</v>
      </c>
      <c r="F101" s="4">
        <f>ROUND(Source!S86,O101)</f>
        <v>135813.21</v>
      </c>
      <c r="G101" s="4" t="s">
        <v>113</v>
      </c>
      <c r="H101" s="4" t="s">
        <v>114</v>
      </c>
      <c r="I101" s="4"/>
      <c r="J101" s="4"/>
      <c r="K101" s="4">
        <v>205</v>
      </c>
      <c r="L101" s="4">
        <v>14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 x14ac:dyDescent="0.2">
      <c r="A102" s="4">
        <v>50</v>
      </c>
      <c r="B102" s="4">
        <v>0</v>
      </c>
      <c r="C102" s="4">
        <v>0</v>
      </c>
      <c r="D102" s="4">
        <v>1</v>
      </c>
      <c r="E102" s="4">
        <v>232</v>
      </c>
      <c r="F102" s="4">
        <f>ROUND(Source!BC86,O102)</f>
        <v>0</v>
      </c>
      <c r="G102" s="4" t="s">
        <v>115</v>
      </c>
      <c r="H102" s="4" t="s">
        <v>116</v>
      </c>
      <c r="I102" s="4"/>
      <c r="J102" s="4"/>
      <c r="K102" s="4">
        <v>232</v>
      </c>
      <c r="L102" s="4">
        <v>15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 x14ac:dyDescent="0.2">
      <c r="A103" s="4">
        <v>50</v>
      </c>
      <c r="B103" s="4">
        <v>0</v>
      </c>
      <c r="C103" s="4">
        <v>0</v>
      </c>
      <c r="D103" s="4">
        <v>1</v>
      </c>
      <c r="E103" s="4">
        <v>214</v>
      </c>
      <c r="F103" s="4">
        <f>ROUND(Source!AS86,O103)</f>
        <v>0</v>
      </c>
      <c r="G103" s="4" t="s">
        <v>117</v>
      </c>
      <c r="H103" s="4" t="s">
        <v>118</v>
      </c>
      <c r="I103" s="4"/>
      <c r="J103" s="4"/>
      <c r="K103" s="4">
        <v>214</v>
      </c>
      <c r="L103" s="4">
        <v>16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 x14ac:dyDescent="0.2">
      <c r="A104" s="4">
        <v>50</v>
      </c>
      <c r="B104" s="4">
        <v>0</v>
      </c>
      <c r="C104" s="4">
        <v>0</v>
      </c>
      <c r="D104" s="4">
        <v>1</v>
      </c>
      <c r="E104" s="4">
        <v>215</v>
      </c>
      <c r="F104" s="4">
        <f>ROUND(Source!AT86,O104)</f>
        <v>0</v>
      </c>
      <c r="G104" s="4" t="s">
        <v>119</v>
      </c>
      <c r="H104" s="4" t="s">
        <v>120</v>
      </c>
      <c r="I104" s="4"/>
      <c r="J104" s="4"/>
      <c r="K104" s="4">
        <v>215</v>
      </c>
      <c r="L104" s="4">
        <v>17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 x14ac:dyDescent="0.2">
      <c r="A105" s="4">
        <v>50</v>
      </c>
      <c r="B105" s="4">
        <v>0</v>
      </c>
      <c r="C105" s="4">
        <v>0</v>
      </c>
      <c r="D105" s="4">
        <v>1</v>
      </c>
      <c r="E105" s="4">
        <v>217</v>
      </c>
      <c r="F105" s="4">
        <f>ROUND(Source!AU86,O105)</f>
        <v>283849.59000000003</v>
      </c>
      <c r="G105" s="4" t="s">
        <v>121</v>
      </c>
      <c r="H105" s="4" t="s">
        <v>122</v>
      </c>
      <c r="I105" s="4"/>
      <c r="J105" s="4"/>
      <c r="K105" s="4">
        <v>217</v>
      </c>
      <c r="L105" s="4">
        <v>18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3" x14ac:dyDescent="0.2">
      <c r="A106" s="4">
        <v>50</v>
      </c>
      <c r="B106" s="4">
        <v>0</v>
      </c>
      <c r="C106" s="4">
        <v>0</v>
      </c>
      <c r="D106" s="4">
        <v>1</v>
      </c>
      <c r="E106" s="4">
        <v>230</v>
      </c>
      <c r="F106" s="4">
        <f>ROUND(Source!BA86,O106)</f>
        <v>0</v>
      </c>
      <c r="G106" s="4" t="s">
        <v>123</v>
      </c>
      <c r="H106" s="4" t="s">
        <v>124</v>
      </c>
      <c r="I106" s="4"/>
      <c r="J106" s="4"/>
      <c r="K106" s="4">
        <v>230</v>
      </c>
      <c r="L106" s="4">
        <v>19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23" x14ac:dyDescent="0.2">
      <c r="A107" s="4">
        <v>50</v>
      </c>
      <c r="B107" s="4">
        <v>0</v>
      </c>
      <c r="C107" s="4">
        <v>0</v>
      </c>
      <c r="D107" s="4">
        <v>1</v>
      </c>
      <c r="E107" s="4">
        <v>206</v>
      </c>
      <c r="F107" s="4">
        <f>ROUND(Source!T86,O107)</f>
        <v>0</v>
      </c>
      <c r="G107" s="4" t="s">
        <v>125</v>
      </c>
      <c r="H107" s="4" t="s">
        <v>126</v>
      </c>
      <c r="I107" s="4"/>
      <c r="J107" s="4"/>
      <c r="K107" s="4">
        <v>206</v>
      </c>
      <c r="L107" s="4">
        <v>20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3" x14ac:dyDescent="0.2">
      <c r="A108" s="4">
        <v>50</v>
      </c>
      <c r="B108" s="4">
        <v>0</v>
      </c>
      <c r="C108" s="4">
        <v>0</v>
      </c>
      <c r="D108" s="4">
        <v>1</v>
      </c>
      <c r="E108" s="4">
        <v>207</v>
      </c>
      <c r="F108" s="4">
        <f>Source!U86</f>
        <v>352.32599999999996</v>
      </c>
      <c r="G108" s="4" t="s">
        <v>127</v>
      </c>
      <c r="H108" s="4" t="s">
        <v>128</v>
      </c>
      <c r="I108" s="4"/>
      <c r="J108" s="4"/>
      <c r="K108" s="4">
        <v>207</v>
      </c>
      <c r="L108" s="4">
        <v>21</v>
      </c>
      <c r="M108" s="4">
        <v>3</v>
      </c>
      <c r="N108" s="4" t="s">
        <v>3</v>
      </c>
      <c r="O108" s="4">
        <v>-1</v>
      </c>
      <c r="P108" s="4"/>
      <c r="Q108" s="4"/>
      <c r="R108" s="4"/>
      <c r="S108" s="4"/>
      <c r="T108" s="4"/>
      <c r="U108" s="4"/>
      <c r="V108" s="4"/>
      <c r="W108" s="4"/>
    </row>
    <row r="109" spans="1:23" x14ac:dyDescent="0.2">
      <c r="A109" s="4">
        <v>50</v>
      </c>
      <c r="B109" s="4">
        <v>0</v>
      </c>
      <c r="C109" s="4">
        <v>0</v>
      </c>
      <c r="D109" s="4">
        <v>1</v>
      </c>
      <c r="E109" s="4">
        <v>208</v>
      </c>
      <c r="F109" s="4">
        <f>Source!V86</f>
        <v>0</v>
      </c>
      <c r="G109" s="4" t="s">
        <v>129</v>
      </c>
      <c r="H109" s="4" t="s">
        <v>130</v>
      </c>
      <c r="I109" s="4"/>
      <c r="J109" s="4"/>
      <c r="K109" s="4">
        <v>208</v>
      </c>
      <c r="L109" s="4">
        <v>22</v>
      </c>
      <c r="M109" s="4">
        <v>3</v>
      </c>
      <c r="N109" s="4" t="s">
        <v>3</v>
      </c>
      <c r="O109" s="4">
        <v>-1</v>
      </c>
      <c r="P109" s="4"/>
      <c r="Q109" s="4"/>
      <c r="R109" s="4"/>
      <c r="S109" s="4"/>
      <c r="T109" s="4"/>
      <c r="U109" s="4"/>
      <c r="V109" s="4"/>
      <c r="W109" s="4"/>
    </row>
    <row r="110" spans="1:23" x14ac:dyDescent="0.2">
      <c r="A110" s="4">
        <v>50</v>
      </c>
      <c r="B110" s="4">
        <v>0</v>
      </c>
      <c r="C110" s="4">
        <v>0</v>
      </c>
      <c r="D110" s="4">
        <v>1</v>
      </c>
      <c r="E110" s="4">
        <v>209</v>
      </c>
      <c r="F110" s="4">
        <f>ROUND(Source!W86,O110)</f>
        <v>0</v>
      </c>
      <c r="G110" s="4" t="s">
        <v>131</v>
      </c>
      <c r="H110" s="4" t="s">
        <v>132</v>
      </c>
      <c r="I110" s="4"/>
      <c r="J110" s="4"/>
      <c r="K110" s="4">
        <v>209</v>
      </c>
      <c r="L110" s="4">
        <v>23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/>
    </row>
    <row r="111" spans="1:23" x14ac:dyDescent="0.2">
      <c r="A111" s="4">
        <v>50</v>
      </c>
      <c r="B111" s="4">
        <v>0</v>
      </c>
      <c r="C111" s="4">
        <v>0</v>
      </c>
      <c r="D111" s="4">
        <v>1</v>
      </c>
      <c r="E111" s="4">
        <v>233</v>
      </c>
      <c r="F111" s="4">
        <f>ROUND(Source!BD86,O111)</f>
        <v>0</v>
      </c>
      <c r="G111" s="4" t="s">
        <v>133</v>
      </c>
      <c r="H111" s="4" t="s">
        <v>134</v>
      </c>
      <c r="I111" s="4"/>
      <c r="J111" s="4"/>
      <c r="K111" s="4">
        <v>233</v>
      </c>
      <c r="L111" s="4">
        <v>24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/>
    </row>
    <row r="112" spans="1:23" x14ac:dyDescent="0.2">
      <c r="A112" s="4">
        <v>50</v>
      </c>
      <c r="B112" s="4">
        <v>0</v>
      </c>
      <c r="C112" s="4">
        <v>0</v>
      </c>
      <c r="D112" s="4">
        <v>1</v>
      </c>
      <c r="E112" s="4">
        <v>210</v>
      </c>
      <c r="F112" s="4">
        <f>ROUND(Source!X86,O112)</f>
        <v>92352.97</v>
      </c>
      <c r="G112" s="4" t="s">
        <v>135</v>
      </c>
      <c r="H112" s="4" t="s">
        <v>136</v>
      </c>
      <c r="I112" s="4"/>
      <c r="J112" s="4"/>
      <c r="K112" s="4">
        <v>210</v>
      </c>
      <c r="L112" s="4">
        <v>25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45" x14ac:dyDescent="0.2">
      <c r="A113" s="4">
        <v>50</v>
      </c>
      <c r="B113" s="4">
        <v>0</v>
      </c>
      <c r="C113" s="4">
        <v>0</v>
      </c>
      <c r="D113" s="4">
        <v>1</v>
      </c>
      <c r="E113" s="4">
        <v>211</v>
      </c>
      <c r="F113" s="4">
        <f>ROUND(Source!Y86,O113)</f>
        <v>55683.41</v>
      </c>
      <c r="G113" s="4" t="s">
        <v>137</v>
      </c>
      <c r="H113" s="4" t="s">
        <v>138</v>
      </c>
      <c r="I113" s="4"/>
      <c r="J113" s="4"/>
      <c r="K113" s="4">
        <v>211</v>
      </c>
      <c r="L113" s="4">
        <v>26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/>
    </row>
    <row r="114" spans="1:245" x14ac:dyDescent="0.2">
      <c r="A114" s="4">
        <v>50</v>
      </c>
      <c r="B114" s="4">
        <v>0</v>
      </c>
      <c r="C114" s="4">
        <v>0</v>
      </c>
      <c r="D114" s="4">
        <v>1</v>
      </c>
      <c r="E114" s="4">
        <v>224</v>
      </c>
      <c r="F114" s="4">
        <f>ROUND(Source!AR86,O114)</f>
        <v>283849.59000000003</v>
      </c>
      <c r="G114" s="4" t="s">
        <v>139</v>
      </c>
      <c r="H114" s="4" t="s">
        <v>140</v>
      </c>
      <c r="I114" s="4"/>
      <c r="J114" s="4"/>
      <c r="K114" s="4">
        <v>224</v>
      </c>
      <c r="L114" s="4">
        <v>27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/>
    </row>
    <row r="116" spans="1:245" x14ac:dyDescent="0.2">
      <c r="A116" s="1">
        <v>4</v>
      </c>
      <c r="B116" s="1">
        <v>1</v>
      </c>
      <c r="C116" s="1"/>
      <c r="D116" s="1">
        <f>ROW(A128)</f>
        <v>128</v>
      </c>
      <c r="E116" s="1"/>
      <c r="F116" s="1" t="s">
        <v>21</v>
      </c>
      <c r="G116" s="1" t="s">
        <v>193</v>
      </c>
      <c r="H116" s="1" t="s">
        <v>3</v>
      </c>
      <c r="I116" s="1">
        <v>0</v>
      </c>
      <c r="J116" s="1"/>
      <c r="K116" s="1">
        <v>-1</v>
      </c>
      <c r="L116" s="1"/>
      <c r="M116" s="1" t="s">
        <v>3</v>
      </c>
      <c r="N116" s="1"/>
      <c r="O116" s="1"/>
      <c r="P116" s="1"/>
      <c r="Q116" s="1"/>
      <c r="R116" s="1"/>
      <c r="S116" s="1">
        <v>0</v>
      </c>
      <c r="T116" s="1"/>
      <c r="U116" s="1" t="s">
        <v>3</v>
      </c>
      <c r="V116" s="1">
        <v>0</v>
      </c>
      <c r="W116" s="1"/>
      <c r="X116" s="1"/>
      <c r="Y116" s="1"/>
      <c r="Z116" s="1"/>
      <c r="AA116" s="1"/>
      <c r="AB116" s="1" t="s">
        <v>3</v>
      </c>
      <c r="AC116" s="1" t="s">
        <v>3</v>
      </c>
      <c r="AD116" s="1" t="s">
        <v>3</v>
      </c>
      <c r="AE116" s="1" t="s">
        <v>3</v>
      </c>
      <c r="AF116" s="1" t="s">
        <v>3</v>
      </c>
      <c r="AG116" s="1" t="s">
        <v>3</v>
      </c>
      <c r="AH116" s="1"/>
      <c r="AI116" s="1"/>
      <c r="AJ116" s="1"/>
      <c r="AK116" s="1"/>
      <c r="AL116" s="1"/>
      <c r="AM116" s="1"/>
      <c r="AN116" s="1"/>
      <c r="AO116" s="1"/>
      <c r="AP116" s="1" t="s">
        <v>3</v>
      </c>
      <c r="AQ116" s="1" t="s">
        <v>3</v>
      </c>
      <c r="AR116" s="1" t="s">
        <v>3</v>
      </c>
      <c r="AS116" s="1"/>
      <c r="AT116" s="1"/>
      <c r="AU116" s="1"/>
      <c r="AV116" s="1"/>
      <c r="AW116" s="1"/>
      <c r="AX116" s="1"/>
      <c r="AY116" s="1"/>
      <c r="AZ116" s="1" t="s">
        <v>3</v>
      </c>
      <c r="BA116" s="1"/>
      <c r="BB116" s="1" t="s">
        <v>3</v>
      </c>
      <c r="BC116" s="1" t="s">
        <v>3</v>
      </c>
      <c r="BD116" s="1" t="s">
        <v>3</v>
      </c>
      <c r="BE116" s="1" t="s">
        <v>3</v>
      </c>
      <c r="BF116" s="1" t="s">
        <v>3</v>
      </c>
      <c r="BG116" s="1" t="s">
        <v>3</v>
      </c>
      <c r="BH116" s="1" t="s">
        <v>3</v>
      </c>
      <c r="BI116" s="1" t="s">
        <v>3</v>
      </c>
      <c r="BJ116" s="1" t="s">
        <v>3</v>
      </c>
      <c r="BK116" s="1" t="s">
        <v>3</v>
      </c>
      <c r="BL116" s="1" t="s">
        <v>3</v>
      </c>
      <c r="BM116" s="1" t="s">
        <v>3</v>
      </c>
      <c r="BN116" s="1" t="s">
        <v>3</v>
      </c>
      <c r="BO116" s="1" t="s">
        <v>3</v>
      </c>
      <c r="BP116" s="1" t="s">
        <v>3</v>
      </c>
      <c r="BQ116" s="1"/>
      <c r="BR116" s="1"/>
      <c r="BS116" s="1"/>
      <c r="BT116" s="1"/>
      <c r="BU116" s="1"/>
      <c r="BV116" s="1"/>
      <c r="BW116" s="1"/>
      <c r="BX116" s="1">
        <v>0</v>
      </c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>
        <v>0</v>
      </c>
    </row>
    <row r="118" spans="1:245" x14ac:dyDescent="0.2">
      <c r="A118" s="2">
        <v>52</v>
      </c>
      <c r="B118" s="2">
        <f t="shared" ref="B118:G118" si="106">B128</f>
        <v>1</v>
      </c>
      <c r="C118" s="2">
        <f t="shared" si="106"/>
        <v>4</v>
      </c>
      <c r="D118" s="2">
        <f t="shared" si="106"/>
        <v>116</v>
      </c>
      <c r="E118" s="2">
        <f t="shared" si="106"/>
        <v>0</v>
      </c>
      <c r="F118" s="2" t="str">
        <f t="shared" si="106"/>
        <v>Новый раздел</v>
      </c>
      <c r="G118" s="2" t="str">
        <f t="shared" si="106"/>
        <v>Материалы, не учтенные ценником и оборудование.</v>
      </c>
      <c r="H118" s="2"/>
      <c r="I118" s="2"/>
      <c r="J118" s="2"/>
      <c r="K118" s="2"/>
      <c r="L118" s="2"/>
      <c r="M118" s="2"/>
      <c r="N118" s="2"/>
      <c r="O118" s="2">
        <f t="shared" ref="O118:AT118" si="107">O128</f>
        <v>1618017.75</v>
      </c>
      <c r="P118" s="2">
        <f t="shared" si="107"/>
        <v>1618017.75</v>
      </c>
      <c r="Q118" s="2">
        <f t="shared" si="107"/>
        <v>0</v>
      </c>
      <c r="R118" s="2">
        <f t="shared" si="107"/>
        <v>0</v>
      </c>
      <c r="S118" s="2">
        <f t="shared" si="107"/>
        <v>0</v>
      </c>
      <c r="T118" s="2">
        <f t="shared" si="107"/>
        <v>0</v>
      </c>
      <c r="U118" s="2">
        <f t="shared" si="107"/>
        <v>0</v>
      </c>
      <c r="V118" s="2">
        <f t="shared" si="107"/>
        <v>0</v>
      </c>
      <c r="W118" s="2">
        <f t="shared" si="107"/>
        <v>0</v>
      </c>
      <c r="X118" s="2">
        <f t="shared" si="107"/>
        <v>0</v>
      </c>
      <c r="Y118" s="2">
        <f t="shared" si="107"/>
        <v>0</v>
      </c>
      <c r="Z118" s="2">
        <f t="shared" si="107"/>
        <v>0</v>
      </c>
      <c r="AA118" s="2">
        <f t="shared" si="107"/>
        <v>0</v>
      </c>
      <c r="AB118" s="2">
        <f t="shared" si="107"/>
        <v>1618017.75</v>
      </c>
      <c r="AC118" s="2">
        <f t="shared" si="107"/>
        <v>1618017.75</v>
      </c>
      <c r="AD118" s="2">
        <f t="shared" si="107"/>
        <v>0</v>
      </c>
      <c r="AE118" s="2">
        <f t="shared" si="107"/>
        <v>0</v>
      </c>
      <c r="AF118" s="2">
        <f t="shared" si="107"/>
        <v>0</v>
      </c>
      <c r="AG118" s="2">
        <f t="shared" si="107"/>
        <v>0</v>
      </c>
      <c r="AH118" s="2">
        <f t="shared" si="107"/>
        <v>0</v>
      </c>
      <c r="AI118" s="2">
        <f t="shared" si="107"/>
        <v>0</v>
      </c>
      <c r="AJ118" s="2">
        <f t="shared" si="107"/>
        <v>0</v>
      </c>
      <c r="AK118" s="2">
        <f t="shared" si="107"/>
        <v>0</v>
      </c>
      <c r="AL118" s="2">
        <f t="shared" si="107"/>
        <v>0</v>
      </c>
      <c r="AM118" s="2">
        <f t="shared" si="107"/>
        <v>0</v>
      </c>
      <c r="AN118" s="2">
        <f t="shared" si="107"/>
        <v>0</v>
      </c>
      <c r="AO118" s="2">
        <f t="shared" si="107"/>
        <v>0</v>
      </c>
      <c r="AP118" s="2">
        <f t="shared" si="107"/>
        <v>0</v>
      </c>
      <c r="AQ118" s="2">
        <f t="shared" si="107"/>
        <v>0</v>
      </c>
      <c r="AR118" s="2">
        <f t="shared" si="107"/>
        <v>1618017.75</v>
      </c>
      <c r="AS118" s="2">
        <f t="shared" si="107"/>
        <v>0</v>
      </c>
      <c r="AT118" s="2">
        <f t="shared" si="107"/>
        <v>54607.89</v>
      </c>
      <c r="AU118" s="2">
        <f t="shared" ref="AU118:BZ118" si="108">AU128</f>
        <v>1563409.86</v>
      </c>
      <c r="AV118" s="2">
        <f t="shared" si="108"/>
        <v>1618017.75</v>
      </c>
      <c r="AW118" s="2">
        <f t="shared" si="108"/>
        <v>1618017.75</v>
      </c>
      <c r="AX118" s="2">
        <f t="shared" si="108"/>
        <v>0</v>
      </c>
      <c r="AY118" s="2">
        <f t="shared" si="108"/>
        <v>1618017.75</v>
      </c>
      <c r="AZ118" s="2">
        <f t="shared" si="108"/>
        <v>0</v>
      </c>
      <c r="BA118" s="2">
        <f t="shared" si="108"/>
        <v>0</v>
      </c>
      <c r="BB118" s="2">
        <f t="shared" si="108"/>
        <v>0</v>
      </c>
      <c r="BC118" s="2">
        <f t="shared" si="108"/>
        <v>0</v>
      </c>
      <c r="BD118" s="2">
        <f t="shared" si="108"/>
        <v>0</v>
      </c>
      <c r="BE118" s="2">
        <f t="shared" si="108"/>
        <v>0</v>
      </c>
      <c r="BF118" s="2">
        <f t="shared" si="108"/>
        <v>0</v>
      </c>
      <c r="BG118" s="2">
        <f t="shared" si="108"/>
        <v>0</v>
      </c>
      <c r="BH118" s="2">
        <f t="shared" si="108"/>
        <v>0</v>
      </c>
      <c r="BI118" s="2">
        <f t="shared" si="108"/>
        <v>0</v>
      </c>
      <c r="BJ118" s="2">
        <f t="shared" si="108"/>
        <v>0</v>
      </c>
      <c r="BK118" s="2">
        <f t="shared" si="108"/>
        <v>0</v>
      </c>
      <c r="BL118" s="2">
        <f t="shared" si="108"/>
        <v>0</v>
      </c>
      <c r="BM118" s="2">
        <f t="shared" si="108"/>
        <v>0</v>
      </c>
      <c r="BN118" s="2">
        <f t="shared" si="108"/>
        <v>0</v>
      </c>
      <c r="BO118" s="2">
        <f t="shared" si="108"/>
        <v>0</v>
      </c>
      <c r="BP118" s="2">
        <f t="shared" si="108"/>
        <v>0</v>
      </c>
      <c r="BQ118" s="2">
        <f t="shared" si="108"/>
        <v>0</v>
      </c>
      <c r="BR118" s="2">
        <f t="shared" si="108"/>
        <v>0</v>
      </c>
      <c r="BS118" s="2">
        <f t="shared" si="108"/>
        <v>0</v>
      </c>
      <c r="BT118" s="2">
        <f t="shared" si="108"/>
        <v>0</v>
      </c>
      <c r="BU118" s="2">
        <f t="shared" si="108"/>
        <v>0</v>
      </c>
      <c r="BV118" s="2">
        <f t="shared" si="108"/>
        <v>0</v>
      </c>
      <c r="BW118" s="2">
        <f t="shared" si="108"/>
        <v>0</v>
      </c>
      <c r="BX118" s="2">
        <f t="shared" si="108"/>
        <v>0</v>
      </c>
      <c r="BY118" s="2">
        <f t="shared" si="108"/>
        <v>0</v>
      </c>
      <c r="BZ118" s="2">
        <f t="shared" si="108"/>
        <v>0</v>
      </c>
      <c r="CA118" s="2">
        <f t="shared" ref="CA118:DF118" si="109">CA128</f>
        <v>1618017.75</v>
      </c>
      <c r="CB118" s="2">
        <f t="shared" si="109"/>
        <v>0</v>
      </c>
      <c r="CC118" s="2">
        <f t="shared" si="109"/>
        <v>54607.89</v>
      </c>
      <c r="CD118" s="2">
        <f t="shared" si="109"/>
        <v>1563409.86</v>
      </c>
      <c r="CE118" s="2">
        <f t="shared" si="109"/>
        <v>1618017.75</v>
      </c>
      <c r="CF118" s="2">
        <f t="shared" si="109"/>
        <v>1618017.75</v>
      </c>
      <c r="CG118" s="2">
        <f t="shared" si="109"/>
        <v>0</v>
      </c>
      <c r="CH118" s="2">
        <f t="shared" si="109"/>
        <v>1618017.75</v>
      </c>
      <c r="CI118" s="2">
        <f t="shared" si="109"/>
        <v>0</v>
      </c>
      <c r="CJ118" s="2">
        <f t="shared" si="109"/>
        <v>0</v>
      </c>
      <c r="CK118" s="2">
        <f t="shared" si="109"/>
        <v>0</v>
      </c>
      <c r="CL118" s="2">
        <f t="shared" si="109"/>
        <v>0</v>
      </c>
      <c r="CM118" s="2">
        <f t="shared" si="109"/>
        <v>0</v>
      </c>
      <c r="CN118" s="2">
        <f t="shared" si="109"/>
        <v>0</v>
      </c>
      <c r="CO118" s="2">
        <f t="shared" si="109"/>
        <v>0</v>
      </c>
      <c r="CP118" s="2">
        <f t="shared" si="109"/>
        <v>0</v>
      </c>
      <c r="CQ118" s="2">
        <f t="shared" si="109"/>
        <v>0</v>
      </c>
      <c r="CR118" s="2">
        <f t="shared" si="109"/>
        <v>0</v>
      </c>
      <c r="CS118" s="2">
        <f t="shared" si="109"/>
        <v>0</v>
      </c>
      <c r="CT118" s="2">
        <f t="shared" si="109"/>
        <v>0</v>
      </c>
      <c r="CU118" s="2">
        <f t="shared" si="109"/>
        <v>0</v>
      </c>
      <c r="CV118" s="2">
        <f t="shared" si="109"/>
        <v>0</v>
      </c>
      <c r="CW118" s="2">
        <f t="shared" si="109"/>
        <v>0</v>
      </c>
      <c r="CX118" s="2">
        <f t="shared" si="109"/>
        <v>0</v>
      </c>
      <c r="CY118" s="2">
        <f t="shared" si="109"/>
        <v>0</v>
      </c>
      <c r="CZ118" s="2">
        <f t="shared" si="109"/>
        <v>0</v>
      </c>
      <c r="DA118" s="2">
        <f t="shared" si="109"/>
        <v>0</v>
      </c>
      <c r="DB118" s="2">
        <f t="shared" si="109"/>
        <v>0</v>
      </c>
      <c r="DC118" s="2">
        <f t="shared" si="109"/>
        <v>0</v>
      </c>
      <c r="DD118" s="2">
        <f t="shared" si="109"/>
        <v>0</v>
      </c>
      <c r="DE118" s="2">
        <f t="shared" si="109"/>
        <v>0</v>
      </c>
      <c r="DF118" s="2">
        <f t="shared" si="109"/>
        <v>0</v>
      </c>
      <c r="DG118" s="3">
        <f t="shared" ref="DG118:EL118" si="110">DG128</f>
        <v>0</v>
      </c>
      <c r="DH118" s="3">
        <f t="shared" si="110"/>
        <v>0</v>
      </c>
      <c r="DI118" s="3">
        <f t="shared" si="110"/>
        <v>0</v>
      </c>
      <c r="DJ118" s="3">
        <f t="shared" si="110"/>
        <v>0</v>
      </c>
      <c r="DK118" s="3">
        <f t="shared" si="110"/>
        <v>0</v>
      </c>
      <c r="DL118" s="3">
        <f t="shared" si="110"/>
        <v>0</v>
      </c>
      <c r="DM118" s="3">
        <f t="shared" si="110"/>
        <v>0</v>
      </c>
      <c r="DN118" s="3">
        <f t="shared" si="110"/>
        <v>0</v>
      </c>
      <c r="DO118" s="3">
        <f t="shared" si="110"/>
        <v>0</v>
      </c>
      <c r="DP118" s="3">
        <f t="shared" si="110"/>
        <v>0</v>
      </c>
      <c r="DQ118" s="3">
        <f t="shared" si="110"/>
        <v>0</v>
      </c>
      <c r="DR118" s="3">
        <f t="shared" si="110"/>
        <v>0</v>
      </c>
      <c r="DS118" s="3">
        <f t="shared" si="110"/>
        <v>0</v>
      </c>
      <c r="DT118" s="3">
        <f t="shared" si="110"/>
        <v>0</v>
      </c>
      <c r="DU118" s="3">
        <f t="shared" si="110"/>
        <v>0</v>
      </c>
      <c r="DV118" s="3">
        <f t="shared" si="110"/>
        <v>0</v>
      </c>
      <c r="DW118" s="3">
        <f t="shared" si="110"/>
        <v>0</v>
      </c>
      <c r="DX118" s="3">
        <f t="shared" si="110"/>
        <v>0</v>
      </c>
      <c r="DY118" s="3">
        <f t="shared" si="110"/>
        <v>0</v>
      </c>
      <c r="DZ118" s="3">
        <f t="shared" si="110"/>
        <v>0</v>
      </c>
      <c r="EA118" s="3">
        <f t="shared" si="110"/>
        <v>0</v>
      </c>
      <c r="EB118" s="3">
        <f t="shared" si="110"/>
        <v>0</v>
      </c>
      <c r="EC118" s="3">
        <f t="shared" si="110"/>
        <v>0</v>
      </c>
      <c r="ED118" s="3">
        <f t="shared" si="110"/>
        <v>0</v>
      </c>
      <c r="EE118" s="3">
        <f t="shared" si="110"/>
        <v>0</v>
      </c>
      <c r="EF118" s="3">
        <f t="shared" si="110"/>
        <v>0</v>
      </c>
      <c r="EG118" s="3">
        <f t="shared" si="110"/>
        <v>0</v>
      </c>
      <c r="EH118" s="3">
        <f t="shared" si="110"/>
        <v>0</v>
      </c>
      <c r="EI118" s="3">
        <f t="shared" si="110"/>
        <v>0</v>
      </c>
      <c r="EJ118" s="3">
        <f t="shared" si="110"/>
        <v>0</v>
      </c>
      <c r="EK118" s="3">
        <f t="shared" si="110"/>
        <v>0</v>
      </c>
      <c r="EL118" s="3">
        <f t="shared" si="110"/>
        <v>0</v>
      </c>
      <c r="EM118" s="3">
        <f t="shared" ref="EM118:FR118" si="111">EM128</f>
        <v>0</v>
      </c>
      <c r="EN118" s="3">
        <f t="shared" si="111"/>
        <v>0</v>
      </c>
      <c r="EO118" s="3">
        <f t="shared" si="111"/>
        <v>0</v>
      </c>
      <c r="EP118" s="3">
        <f t="shared" si="111"/>
        <v>0</v>
      </c>
      <c r="EQ118" s="3">
        <f t="shared" si="111"/>
        <v>0</v>
      </c>
      <c r="ER118" s="3">
        <f t="shared" si="111"/>
        <v>0</v>
      </c>
      <c r="ES118" s="3">
        <f t="shared" si="111"/>
        <v>0</v>
      </c>
      <c r="ET118" s="3">
        <f t="shared" si="111"/>
        <v>0</v>
      </c>
      <c r="EU118" s="3">
        <f t="shared" si="111"/>
        <v>0</v>
      </c>
      <c r="EV118" s="3">
        <f t="shared" si="111"/>
        <v>0</v>
      </c>
      <c r="EW118" s="3">
        <f t="shared" si="111"/>
        <v>0</v>
      </c>
      <c r="EX118" s="3">
        <f t="shared" si="111"/>
        <v>0</v>
      </c>
      <c r="EY118" s="3">
        <f t="shared" si="111"/>
        <v>0</v>
      </c>
      <c r="EZ118" s="3">
        <f t="shared" si="111"/>
        <v>0</v>
      </c>
      <c r="FA118" s="3">
        <f t="shared" si="111"/>
        <v>0</v>
      </c>
      <c r="FB118" s="3">
        <f t="shared" si="111"/>
        <v>0</v>
      </c>
      <c r="FC118" s="3">
        <f t="shared" si="111"/>
        <v>0</v>
      </c>
      <c r="FD118" s="3">
        <f t="shared" si="111"/>
        <v>0</v>
      </c>
      <c r="FE118" s="3">
        <f t="shared" si="111"/>
        <v>0</v>
      </c>
      <c r="FF118" s="3">
        <f t="shared" si="111"/>
        <v>0</v>
      </c>
      <c r="FG118" s="3">
        <f t="shared" si="111"/>
        <v>0</v>
      </c>
      <c r="FH118" s="3">
        <f t="shared" si="111"/>
        <v>0</v>
      </c>
      <c r="FI118" s="3">
        <f t="shared" si="111"/>
        <v>0</v>
      </c>
      <c r="FJ118" s="3">
        <f t="shared" si="111"/>
        <v>0</v>
      </c>
      <c r="FK118" s="3">
        <f t="shared" si="111"/>
        <v>0</v>
      </c>
      <c r="FL118" s="3">
        <f t="shared" si="111"/>
        <v>0</v>
      </c>
      <c r="FM118" s="3">
        <f t="shared" si="111"/>
        <v>0</v>
      </c>
      <c r="FN118" s="3">
        <f t="shared" si="111"/>
        <v>0</v>
      </c>
      <c r="FO118" s="3">
        <f t="shared" si="111"/>
        <v>0</v>
      </c>
      <c r="FP118" s="3">
        <f t="shared" si="111"/>
        <v>0</v>
      </c>
      <c r="FQ118" s="3">
        <f t="shared" si="111"/>
        <v>0</v>
      </c>
      <c r="FR118" s="3">
        <f t="shared" si="111"/>
        <v>0</v>
      </c>
      <c r="FS118" s="3">
        <f t="shared" ref="FS118:GX118" si="112">FS128</f>
        <v>0</v>
      </c>
      <c r="FT118" s="3">
        <f t="shared" si="112"/>
        <v>0</v>
      </c>
      <c r="FU118" s="3">
        <f t="shared" si="112"/>
        <v>0</v>
      </c>
      <c r="FV118" s="3">
        <f t="shared" si="112"/>
        <v>0</v>
      </c>
      <c r="FW118" s="3">
        <f t="shared" si="112"/>
        <v>0</v>
      </c>
      <c r="FX118" s="3">
        <f t="shared" si="112"/>
        <v>0</v>
      </c>
      <c r="FY118" s="3">
        <f t="shared" si="112"/>
        <v>0</v>
      </c>
      <c r="FZ118" s="3">
        <f t="shared" si="112"/>
        <v>0</v>
      </c>
      <c r="GA118" s="3">
        <f t="shared" si="112"/>
        <v>0</v>
      </c>
      <c r="GB118" s="3">
        <f t="shared" si="112"/>
        <v>0</v>
      </c>
      <c r="GC118" s="3">
        <f t="shared" si="112"/>
        <v>0</v>
      </c>
      <c r="GD118" s="3">
        <f t="shared" si="112"/>
        <v>0</v>
      </c>
      <c r="GE118" s="3">
        <f t="shared" si="112"/>
        <v>0</v>
      </c>
      <c r="GF118" s="3">
        <f t="shared" si="112"/>
        <v>0</v>
      </c>
      <c r="GG118" s="3">
        <f t="shared" si="112"/>
        <v>0</v>
      </c>
      <c r="GH118" s="3">
        <f t="shared" si="112"/>
        <v>0</v>
      </c>
      <c r="GI118" s="3">
        <f t="shared" si="112"/>
        <v>0</v>
      </c>
      <c r="GJ118" s="3">
        <f t="shared" si="112"/>
        <v>0</v>
      </c>
      <c r="GK118" s="3">
        <f t="shared" si="112"/>
        <v>0</v>
      </c>
      <c r="GL118" s="3">
        <f t="shared" si="112"/>
        <v>0</v>
      </c>
      <c r="GM118" s="3">
        <f t="shared" si="112"/>
        <v>0</v>
      </c>
      <c r="GN118" s="3">
        <f t="shared" si="112"/>
        <v>0</v>
      </c>
      <c r="GO118" s="3">
        <f t="shared" si="112"/>
        <v>0</v>
      </c>
      <c r="GP118" s="3">
        <f t="shared" si="112"/>
        <v>0</v>
      </c>
      <c r="GQ118" s="3">
        <f t="shared" si="112"/>
        <v>0</v>
      </c>
      <c r="GR118" s="3">
        <f t="shared" si="112"/>
        <v>0</v>
      </c>
      <c r="GS118" s="3">
        <f t="shared" si="112"/>
        <v>0</v>
      </c>
      <c r="GT118" s="3">
        <f t="shared" si="112"/>
        <v>0</v>
      </c>
      <c r="GU118" s="3">
        <f t="shared" si="112"/>
        <v>0</v>
      </c>
      <c r="GV118" s="3">
        <f t="shared" si="112"/>
        <v>0</v>
      </c>
      <c r="GW118" s="3">
        <f t="shared" si="112"/>
        <v>0</v>
      </c>
      <c r="GX118" s="3">
        <f t="shared" si="112"/>
        <v>0</v>
      </c>
    </row>
    <row r="120" spans="1:245" x14ac:dyDescent="0.2">
      <c r="A120">
        <v>17</v>
      </c>
      <c r="B120">
        <v>1</v>
      </c>
      <c r="E120" t="s">
        <v>194</v>
      </c>
      <c r="F120" t="s">
        <v>195</v>
      </c>
      <c r="G120" t="s">
        <v>196</v>
      </c>
      <c r="H120" t="s">
        <v>197</v>
      </c>
      <c r="I120">
        <v>0</v>
      </c>
      <c r="J120">
        <v>0</v>
      </c>
      <c r="O120">
        <f t="shared" ref="O120:O126" si="113">ROUND(CP120,2)</f>
        <v>0</v>
      </c>
      <c r="P120">
        <f t="shared" ref="P120:P126" si="114">ROUND((ROUND((AC120*AW120*I120),2)*BC120),2)</f>
        <v>0</v>
      </c>
      <c r="Q120">
        <f t="shared" ref="Q120:Q126" si="115">(ROUND((ROUND(((ET120)*AV120*I120),2)*BB120),2)+ROUND((ROUND(((AE120-(EU120))*AV120*I120),2)*BS120),2))</f>
        <v>0</v>
      </c>
      <c r="R120">
        <f t="shared" ref="R120:R126" si="116">ROUND((ROUND((AE120*AV120*I120),2)*BS120),2)</f>
        <v>0</v>
      </c>
      <c r="S120">
        <f t="shared" ref="S120:S126" si="117">ROUND((ROUND((AF120*AV120*I120),2)*BA120),2)</f>
        <v>0</v>
      </c>
      <c r="T120">
        <f t="shared" ref="T120:T126" si="118">ROUND(CU120*I120,2)</f>
        <v>0</v>
      </c>
      <c r="U120">
        <f t="shared" ref="U120:U126" si="119">CV120*I120</f>
        <v>0</v>
      </c>
      <c r="V120">
        <f t="shared" ref="V120:V126" si="120">CW120*I120</f>
        <v>0</v>
      </c>
      <c r="W120">
        <f t="shared" ref="W120:W126" si="121">ROUND(CX120*I120,2)</f>
        <v>0</v>
      </c>
      <c r="X120">
        <f t="shared" ref="X120:Y126" si="122">ROUND(CY120,2)</f>
        <v>0</v>
      </c>
      <c r="Y120">
        <f t="shared" si="122"/>
        <v>0</v>
      </c>
      <c r="AA120">
        <v>23440596</v>
      </c>
      <c r="AB120">
        <f t="shared" ref="AB120:AB126" si="123">ROUND((AC120+AD120+AF120),6)</f>
        <v>19941.89</v>
      </c>
      <c r="AC120">
        <f t="shared" ref="AC120:AC126" si="124">ROUND((ES120),6)</f>
        <v>19941.89</v>
      </c>
      <c r="AD120">
        <f t="shared" ref="AD120:AD126" si="125">ROUND((((ET120)-(EU120))+AE120),6)</f>
        <v>0</v>
      </c>
      <c r="AE120">
        <f t="shared" ref="AE120:AF126" si="126">ROUND((EU120),6)</f>
        <v>0</v>
      </c>
      <c r="AF120">
        <f t="shared" si="126"/>
        <v>0</v>
      </c>
      <c r="AG120">
        <f t="shared" ref="AG120:AG126" si="127">ROUND((AP120),6)</f>
        <v>0</v>
      </c>
      <c r="AH120">
        <f t="shared" ref="AH120:AI126" si="128">(EW120)</f>
        <v>0</v>
      </c>
      <c r="AI120">
        <f t="shared" si="128"/>
        <v>0</v>
      </c>
      <c r="AJ120">
        <f t="shared" ref="AJ120:AJ126" si="129">(AS120)</f>
        <v>0</v>
      </c>
      <c r="AK120">
        <v>19941.89</v>
      </c>
      <c r="AL120">
        <v>19941.89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1</v>
      </c>
      <c r="AW120">
        <v>1</v>
      </c>
      <c r="AZ120">
        <v>1</v>
      </c>
      <c r="BA120">
        <v>1</v>
      </c>
      <c r="BB120">
        <v>1</v>
      </c>
      <c r="BC120">
        <v>8.0500000000000007</v>
      </c>
      <c r="BD120" t="s">
        <v>3</v>
      </c>
      <c r="BE120" t="s">
        <v>3</v>
      </c>
      <c r="BF120" t="s">
        <v>3</v>
      </c>
      <c r="BG120" t="s">
        <v>3</v>
      </c>
      <c r="BH120">
        <v>3</v>
      </c>
      <c r="BI120">
        <v>2</v>
      </c>
      <c r="BJ120" t="s">
        <v>198</v>
      </c>
      <c r="BM120">
        <v>1618</v>
      </c>
      <c r="BN120">
        <v>0</v>
      </c>
      <c r="BO120" t="s">
        <v>195</v>
      </c>
      <c r="BP120">
        <v>1</v>
      </c>
      <c r="BQ120">
        <v>201</v>
      </c>
      <c r="BR120">
        <v>0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Y120" t="s">
        <v>3</v>
      </c>
      <c r="BZ120">
        <v>0</v>
      </c>
      <c r="CA120">
        <v>0</v>
      </c>
      <c r="CE120">
        <v>30</v>
      </c>
      <c r="CF120">
        <v>0</v>
      </c>
      <c r="CG120">
        <v>0</v>
      </c>
      <c r="CM120">
        <v>0</v>
      </c>
      <c r="CN120" t="s">
        <v>3</v>
      </c>
      <c r="CO120">
        <v>0</v>
      </c>
      <c r="CP120">
        <f t="shared" ref="CP120:CP126" si="130">(P120+Q120+S120)</f>
        <v>0</v>
      </c>
      <c r="CQ120">
        <f t="shared" ref="CQ120:CQ126" si="131">ROUND((ROUND((AC120*AW120*1),2)*BC120),2)</f>
        <v>160532.21</v>
      </c>
      <c r="CR120">
        <f t="shared" ref="CR120:CR126" si="132">(ROUND((ROUND(((ET120)*AV120*1),2)*BB120),2)+ROUND((ROUND(((AE120-(EU120))*AV120*1),2)*BS120),2))</f>
        <v>0</v>
      </c>
      <c r="CS120">
        <f t="shared" ref="CS120:CS126" si="133">ROUND((ROUND((AE120*AV120*1),2)*BS120),2)</f>
        <v>0</v>
      </c>
      <c r="CT120">
        <f t="shared" ref="CT120:CT126" si="134">ROUND((ROUND((AF120*AV120*1),2)*BA120),2)</f>
        <v>0</v>
      </c>
      <c r="CU120">
        <f t="shared" ref="CU120:CU126" si="135">AG120</f>
        <v>0</v>
      </c>
      <c r="CV120">
        <f t="shared" ref="CV120:CV126" si="136">(AH120*AV120)</f>
        <v>0</v>
      </c>
      <c r="CW120">
        <f t="shared" ref="CW120:CX126" si="137">AI120</f>
        <v>0</v>
      </c>
      <c r="CX120">
        <f t="shared" si="137"/>
        <v>0</v>
      </c>
      <c r="CY120">
        <f t="shared" ref="CY120:CY126" si="138">S120*(BZ120/100)</f>
        <v>0</v>
      </c>
      <c r="CZ120">
        <f t="shared" ref="CZ120:CZ126" si="139">S120*(CA120/100)</f>
        <v>0</v>
      </c>
      <c r="DC120" t="s">
        <v>3</v>
      </c>
      <c r="DD120" t="s">
        <v>3</v>
      </c>
      <c r="DE120" t="s">
        <v>3</v>
      </c>
      <c r="DF120" t="s">
        <v>3</v>
      </c>
      <c r="DG120" t="s">
        <v>3</v>
      </c>
      <c r="DH120" t="s">
        <v>3</v>
      </c>
      <c r="DI120" t="s">
        <v>3</v>
      </c>
      <c r="DJ120" t="s">
        <v>3</v>
      </c>
      <c r="DK120" t="s">
        <v>3</v>
      </c>
      <c r="DL120" t="s">
        <v>3</v>
      </c>
      <c r="DM120" t="s">
        <v>3</v>
      </c>
      <c r="DN120">
        <v>0</v>
      </c>
      <c r="DO120">
        <v>0</v>
      </c>
      <c r="DP120">
        <v>1</v>
      </c>
      <c r="DQ120">
        <v>1</v>
      </c>
      <c r="DU120">
        <v>1003</v>
      </c>
      <c r="DV120" t="s">
        <v>197</v>
      </c>
      <c r="DW120" t="s">
        <v>197</v>
      </c>
      <c r="DX120">
        <v>1000</v>
      </c>
      <c r="DZ120" t="s">
        <v>3</v>
      </c>
      <c r="EA120" t="s">
        <v>3</v>
      </c>
      <c r="EB120" t="s">
        <v>3</v>
      </c>
      <c r="EC120" t="s">
        <v>3</v>
      </c>
      <c r="EE120">
        <v>22828459</v>
      </c>
      <c r="EF120">
        <v>201</v>
      </c>
      <c r="EG120" t="s">
        <v>199</v>
      </c>
      <c r="EH120">
        <v>0</v>
      </c>
      <c r="EI120" t="s">
        <v>3</v>
      </c>
      <c r="EJ120">
        <v>2</v>
      </c>
      <c r="EK120">
        <v>1618</v>
      </c>
      <c r="EL120" t="s">
        <v>200</v>
      </c>
      <c r="EM120" t="s">
        <v>201</v>
      </c>
      <c r="EO120" t="s">
        <v>3</v>
      </c>
      <c r="EQ120">
        <v>0</v>
      </c>
      <c r="ER120">
        <v>19941.89</v>
      </c>
      <c r="ES120">
        <v>19941.89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FQ120">
        <v>0</v>
      </c>
      <c r="FR120">
        <f t="shared" ref="FR120:FR126" si="140">ROUND(IF(AND(BH120=3,BI120=3),P120,0),2)</f>
        <v>0</v>
      </c>
      <c r="FS120">
        <v>0</v>
      </c>
      <c r="FX120">
        <v>0</v>
      </c>
      <c r="FY120">
        <v>0</v>
      </c>
      <c r="GA120" t="s">
        <v>3</v>
      </c>
      <c r="GD120">
        <v>0</v>
      </c>
      <c r="GF120">
        <v>1699609350</v>
      </c>
      <c r="GG120">
        <v>2</v>
      </c>
      <c r="GH120">
        <v>1</v>
      </c>
      <c r="GI120">
        <v>2</v>
      </c>
      <c r="GJ120">
        <v>0</v>
      </c>
      <c r="GK120">
        <f>ROUND(R120*(R12)/100,2)</f>
        <v>0</v>
      </c>
      <c r="GL120">
        <f t="shared" ref="GL120:GL126" si="141">ROUND(IF(AND(BH120=3,BI120=3,FS120&lt;&gt;0),P120,0),2)</f>
        <v>0</v>
      </c>
      <c r="GM120">
        <f t="shared" ref="GM120:GM126" si="142">ROUND(O120+X120+Y120+GK120,2)+GX120</f>
        <v>0</v>
      </c>
      <c r="GN120">
        <f t="shared" ref="GN120:GN126" si="143">IF(OR(BI120=0,BI120=1),ROUND(O120+X120+Y120+GK120,2),0)</f>
        <v>0</v>
      </c>
      <c r="GO120">
        <f t="shared" ref="GO120:GO126" si="144">IF(BI120=2,ROUND(O120+X120+Y120+GK120,2),0)</f>
        <v>0</v>
      </c>
      <c r="GP120">
        <f t="shared" ref="GP120:GP126" si="145">IF(BI120=4,ROUND(O120+X120+Y120+GK120,2)+GX120,0)</f>
        <v>0</v>
      </c>
      <c r="GR120">
        <v>0</v>
      </c>
      <c r="GS120">
        <v>0</v>
      </c>
      <c r="GT120">
        <v>0</v>
      </c>
      <c r="GU120" t="s">
        <v>3</v>
      </c>
      <c r="GV120">
        <f t="shared" ref="GV120:GV126" si="146">ROUND((GT120),6)</f>
        <v>0</v>
      </c>
      <c r="GW120">
        <v>1</v>
      </c>
      <c r="GX120">
        <f t="shared" ref="GX120:GX126" si="147">ROUND(HC120*I120,2)</f>
        <v>0</v>
      </c>
      <c r="HA120">
        <v>0</v>
      </c>
      <c r="HB120">
        <v>0</v>
      </c>
      <c r="HC120">
        <f t="shared" ref="HC120:HC126" si="148">GV120*GW120</f>
        <v>0</v>
      </c>
      <c r="HE120" t="s">
        <v>3</v>
      </c>
      <c r="HF120" t="s">
        <v>3</v>
      </c>
      <c r="IK120">
        <v>0</v>
      </c>
    </row>
    <row r="121" spans="1:245" x14ac:dyDescent="0.2">
      <c r="A121">
        <v>17</v>
      </c>
      <c r="B121">
        <v>1</v>
      </c>
      <c r="E121" t="s">
        <v>202</v>
      </c>
      <c r="F121" t="s">
        <v>203</v>
      </c>
      <c r="G121" t="s">
        <v>204</v>
      </c>
      <c r="H121" t="s">
        <v>197</v>
      </c>
      <c r="I121">
        <f>ROUND(I32/10,9)</f>
        <v>1.6E-2</v>
      </c>
      <c r="J121">
        <v>0</v>
      </c>
      <c r="O121">
        <f t="shared" si="113"/>
        <v>5452.98</v>
      </c>
      <c r="P121">
        <f t="shared" si="114"/>
        <v>5452.98</v>
      </c>
      <c r="Q121">
        <f t="shared" si="115"/>
        <v>0</v>
      </c>
      <c r="R121">
        <f t="shared" si="116"/>
        <v>0</v>
      </c>
      <c r="S121">
        <f t="shared" si="117"/>
        <v>0</v>
      </c>
      <c r="T121">
        <f t="shared" si="118"/>
        <v>0</v>
      </c>
      <c r="U121">
        <f t="shared" si="119"/>
        <v>0</v>
      </c>
      <c r="V121">
        <f t="shared" si="120"/>
        <v>0</v>
      </c>
      <c r="W121">
        <f t="shared" si="121"/>
        <v>0</v>
      </c>
      <c r="X121">
        <f t="shared" si="122"/>
        <v>0</v>
      </c>
      <c r="Y121">
        <f t="shared" si="122"/>
        <v>0</v>
      </c>
      <c r="AA121">
        <v>23440596</v>
      </c>
      <c r="AB121">
        <f t="shared" si="123"/>
        <v>99361.96</v>
      </c>
      <c r="AC121">
        <f t="shared" si="124"/>
        <v>99361.96</v>
      </c>
      <c r="AD121">
        <f t="shared" si="125"/>
        <v>0</v>
      </c>
      <c r="AE121">
        <f t="shared" si="126"/>
        <v>0</v>
      </c>
      <c r="AF121">
        <f t="shared" si="126"/>
        <v>0</v>
      </c>
      <c r="AG121">
        <f t="shared" si="127"/>
        <v>0</v>
      </c>
      <c r="AH121">
        <f t="shared" si="128"/>
        <v>0</v>
      </c>
      <c r="AI121">
        <f t="shared" si="128"/>
        <v>0</v>
      </c>
      <c r="AJ121">
        <f t="shared" si="129"/>
        <v>0</v>
      </c>
      <c r="AK121">
        <v>99361.96</v>
      </c>
      <c r="AL121">
        <v>99361.96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v>3.43</v>
      </c>
      <c r="BD121" t="s">
        <v>3</v>
      </c>
      <c r="BE121" t="s">
        <v>3</v>
      </c>
      <c r="BF121" t="s">
        <v>3</v>
      </c>
      <c r="BG121" t="s">
        <v>3</v>
      </c>
      <c r="BH121">
        <v>3</v>
      </c>
      <c r="BI121">
        <v>2</v>
      </c>
      <c r="BJ121" t="s">
        <v>205</v>
      </c>
      <c r="BM121">
        <v>1618</v>
      </c>
      <c r="BN121">
        <v>0</v>
      </c>
      <c r="BO121" t="s">
        <v>203</v>
      </c>
      <c r="BP121">
        <v>1</v>
      </c>
      <c r="BQ121">
        <v>201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3</v>
      </c>
      <c r="BZ121">
        <v>0</v>
      </c>
      <c r="CA121">
        <v>0</v>
      </c>
      <c r="CE121">
        <v>30</v>
      </c>
      <c r="CF121">
        <v>0</v>
      </c>
      <c r="CG121">
        <v>0</v>
      </c>
      <c r="CM121">
        <v>0</v>
      </c>
      <c r="CN121" t="s">
        <v>3</v>
      </c>
      <c r="CO121">
        <v>0</v>
      </c>
      <c r="CP121">
        <f t="shared" si="130"/>
        <v>5452.98</v>
      </c>
      <c r="CQ121">
        <f t="shared" si="131"/>
        <v>340811.52000000002</v>
      </c>
      <c r="CR121">
        <f t="shared" si="132"/>
        <v>0</v>
      </c>
      <c r="CS121">
        <f t="shared" si="133"/>
        <v>0</v>
      </c>
      <c r="CT121">
        <f t="shared" si="134"/>
        <v>0</v>
      </c>
      <c r="CU121">
        <f t="shared" si="135"/>
        <v>0</v>
      </c>
      <c r="CV121">
        <f t="shared" si="136"/>
        <v>0</v>
      </c>
      <c r="CW121">
        <f t="shared" si="137"/>
        <v>0</v>
      </c>
      <c r="CX121">
        <f t="shared" si="137"/>
        <v>0</v>
      </c>
      <c r="CY121">
        <f t="shared" si="138"/>
        <v>0</v>
      </c>
      <c r="CZ121">
        <f t="shared" si="139"/>
        <v>0</v>
      </c>
      <c r="DC121" t="s">
        <v>3</v>
      </c>
      <c r="DD121" t="s">
        <v>3</v>
      </c>
      <c r="DE121" t="s">
        <v>3</v>
      </c>
      <c r="DF121" t="s">
        <v>3</v>
      </c>
      <c r="DG121" t="s">
        <v>3</v>
      </c>
      <c r="DH121" t="s">
        <v>3</v>
      </c>
      <c r="DI121" t="s">
        <v>3</v>
      </c>
      <c r="DJ121" t="s">
        <v>3</v>
      </c>
      <c r="DK121" t="s">
        <v>3</v>
      </c>
      <c r="DL121" t="s">
        <v>3</v>
      </c>
      <c r="DM121" t="s">
        <v>3</v>
      </c>
      <c r="DN121">
        <v>0</v>
      </c>
      <c r="DO121">
        <v>0</v>
      </c>
      <c r="DP121">
        <v>1</v>
      </c>
      <c r="DQ121">
        <v>1</v>
      </c>
      <c r="DU121">
        <v>1003</v>
      </c>
      <c r="DV121" t="s">
        <v>197</v>
      </c>
      <c r="DW121" t="s">
        <v>197</v>
      </c>
      <c r="DX121">
        <v>1000</v>
      </c>
      <c r="DZ121" t="s">
        <v>3</v>
      </c>
      <c r="EA121" t="s">
        <v>3</v>
      </c>
      <c r="EB121" t="s">
        <v>3</v>
      </c>
      <c r="EC121" t="s">
        <v>3</v>
      </c>
      <c r="EE121">
        <v>22828459</v>
      </c>
      <c r="EF121">
        <v>201</v>
      </c>
      <c r="EG121" t="s">
        <v>199</v>
      </c>
      <c r="EH121">
        <v>0</v>
      </c>
      <c r="EI121" t="s">
        <v>3</v>
      </c>
      <c r="EJ121">
        <v>2</v>
      </c>
      <c r="EK121">
        <v>1618</v>
      </c>
      <c r="EL121" t="s">
        <v>200</v>
      </c>
      <c r="EM121" t="s">
        <v>201</v>
      </c>
      <c r="EO121" t="s">
        <v>3</v>
      </c>
      <c r="EQ121">
        <v>0</v>
      </c>
      <c r="ER121">
        <v>99361.96</v>
      </c>
      <c r="ES121">
        <v>99361.96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FQ121">
        <v>0</v>
      </c>
      <c r="FR121">
        <f t="shared" si="140"/>
        <v>0</v>
      </c>
      <c r="FS121">
        <v>0</v>
      </c>
      <c r="FX121">
        <v>0</v>
      </c>
      <c r="FY121">
        <v>0</v>
      </c>
      <c r="GA121" t="s">
        <v>3</v>
      </c>
      <c r="GD121">
        <v>0</v>
      </c>
      <c r="GF121">
        <v>-1592107865</v>
      </c>
      <c r="GG121">
        <v>2</v>
      </c>
      <c r="GH121">
        <v>1</v>
      </c>
      <c r="GI121">
        <v>2</v>
      </c>
      <c r="GJ121">
        <v>0</v>
      </c>
      <c r="GK121">
        <f>ROUND(R121*(R12)/100,2)</f>
        <v>0</v>
      </c>
      <c r="GL121">
        <f t="shared" si="141"/>
        <v>0</v>
      </c>
      <c r="GM121">
        <f t="shared" si="142"/>
        <v>5452.98</v>
      </c>
      <c r="GN121">
        <f t="shared" si="143"/>
        <v>0</v>
      </c>
      <c r="GO121">
        <f t="shared" si="144"/>
        <v>5452.98</v>
      </c>
      <c r="GP121">
        <f t="shared" si="145"/>
        <v>0</v>
      </c>
      <c r="GR121">
        <v>0</v>
      </c>
      <c r="GS121">
        <v>0</v>
      </c>
      <c r="GT121">
        <v>0</v>
      </c>
      <c r="GU121" t="s">
        <v>3</v>
      </c>
      <c r="GV121">
        <f t="shared" si="146"/>
        <v>0</v>
      </c>
      <c r="GW121">
        <v>1</v>
      </c>
      <c r="GX121">
        <f t="shared" si="147"/>
        <v>0</v>
      </c>
      <c r="HA121">
        <v>0</v>
      </c>
      <c r="HB121">
        <v>0</v>
      </c>
      <c r="HC121">
        <f t="shared" si="148"/>
        <v>0</v>
      </c>
      <c r="HE121" t="s">
        <v>3</v>
      </c>
      <c r="HF121" t="s">
        <v>3</v>
      </c>
      <c r="IK121">
        <v>0</v>
      </c>
    </row>
    <row r="122" spans="1:245" x14ac:dyDescent="0.2">
      <c r="A122">
        <v>17</v>
      </c>
      <c r="B122">
        <v>1</v>
      </c>
      <c r="E122" t="s">
        <v>206</v>
      </c>
      <c r="F122" t="s">
        <v>207</v>
      </c>
      <c r="G122" t="s">
        <v>208</v>
      </c>
      <c r="H122" t="s">
        <v>209</v>
      </c>
      <c r="I122">
        <v>17</v>
      </c>
      <c r="J122">
        <v>0</v>
      </c>
      <c r="O122">
        <f t="shared" si="113"/>
        <v>15718.25</v>
      </c>
      <c r="P122">
        <f t="shared" si="114"/>
        <v>15718.25</v>
      </c>
      <c r="Q122">
        <f t="shared" si="115"/>
        <v>0</v>
      </c>
      <c r="R122">
        <f t="shared" si="116"/>
        <v>0</v>
      </c>
      <c r="S122">
        <f t="shared" si="117"/>
        <v>0</v>
      </c>
      <c r="T122">
        <f t="shared" si="118"/>
        <v>0</v>
      </c>
      <c r="U122">
        <f t="shared" si="119"/>
        <v>0</v>
      </c>
      <c r="V122">
        <f t="shared" si="120"/>
        <v>0</v>
      </c>
      <c r="W122">
        <f t="shared" si="121"/>
        <v>0</v>
      </c>
      <c r="X122">
        <f t="shared" si="122"/>
        <v>0</v>
      </c>
      <c r="Y122">
        <f t="shared" si="122"/>
        <v>0</v>
      </c>
      <c r="AA122">
        <v>23440596</v>
      </c>
      <c r="AB122">
        <f t="shared" si="123"/>
        <v>306.16000000000003</v>
      </c>
      <c r="AC122">
        <f t="shared" si="124"/>
        <v>306.16000000000003</v>
      </c>
      <c r="AD122">
        <f t="shared" si="125"/>
        <v>0</v>
      </c>
      <c r="AE122">
        <f t="shared" si="126"/>
        <v>0</v>
      </c>
      <c r="AF122">
        <f t="shared" si="126"/>
        <v>0</v>
      </c>
      <c r="AG122">
        <f t="shared" si="127"/>
        <v>0</v>
      </c>
      <c r="AH122">
        <f t="shared" si="128"/>
        <v>0</v>
      </c>
      <c r="AI122">
        <f t="shared" si="128"/>
        <v>0</v>
      </c>
      <c r="AJ122">
        <f t="shared" si="129"/>
        <v>0</v>
      </c>
      <c r="AK122">
        <v>306.16000000000003</v>
      </c>
      <c r="AL122">
        <v>306.16000000000003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1</v>
      </c>
      <c r="AW122">
        <v>1</v>
      </c>
      <c r="AZ122">
        <v>1</v>
      </c>
      <c r="BA122">
        <v>1</v>
      </c>
      <c r="BB122">
        <v>1</v>
      </c>
      <c r="BC122">
        <v>3.02</v>
      </c>
      <c r="BD122" t="s">
        <v>3</v>
      </c>
      <c r="BE122" t="s">
        <v>3</v>
      </c>
      <c r="BF122" t="s">
        <v>3</v>
      </c>
      <c r="BG122" t="s">
        <v>3</v>
      </c>
      <c r="BH122">
        <v>3</v>
      </c>
      <c r="BI122">
        <v>2</v>
      </c>
      <c r="BJ122" t="s">
        <v>210</v>
      </c>
      <c r="BM122">
        <v>1618</v>
      </c>
      <c r="BN122">
        <v>0</v>
      </c>
      <c r="BO122" t="s">
        <v>207</v>
      </c>
      <c r="BP122">
        <v>1</v>
      </c>
      <c r="BQ122">
        <v>201</v>
      </c>
      <c r="BR122">
        <v>0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Y122" t="s">
        <v>3</v>
      </c>
      <c r="BZ122">
        <v>0</v>
      </c>
      <c r="CA122">
        <v>0</v>
      </c>
      <c r="CE122">
        <v>30</v>
      </c>
      <c r="CF122">
        <v>0</v>
      </c>
      <c r="CG122">
        <v>0</v>
      </c>
      <c r="CM122">
        <v>0</v>
      </c>
      <c r="CN122" t="s">
        <v>3</v>
      </c>
      <c r="CO122">
        <v>0</v>
      </c>
      <c r="CP122">
        <f t="shared" si="130"/>
        <v>15718.25</v>
      </c>
      <c r="CQ122">
        <f t="shared" si="131"/>
        <v>924.6</v>
      </c>
      <c r="CR122">
        <f t="shared" si="132"/>
        <v>0</v>
      </c>
      <c r="CS122">
        <f t="shared" si="133"/>
        <v>0</v>
      </c>
      <c r="CT122">
        <f t="shared" si="134"/>
        <v>0</v>
      </c>
      <c r="CU122">
        <f t="shared" si="135"/>
        <v>0</v>
      </c>
      <c r="CV122">
        <f t="shared" si="136"/>
        <v>0</v>
      </c>
      <c r="CW122">
        <f t="shared" si="137"/>
        <v>0</v>
      </c>
      <c r="CX122">
        <f t="shared" si="137"/>
        <v>0</v>
      </c>
      <c r="CY122">
        <f t="shared" si="138"/>
        <v>0</v>
      </c>
      <c r="CZ122">
        <f t="shared" si="139"/>
        <v>0</v>
      </c>
      <c r="DC122" t="s">
        <v>3</v>
      </c>
      <c r="DD122" t="s">
        <v>3</v>
      </c>
      <c r="DE122" t="s">
        <v>3</v>
      </c>
      <c r="DF122" t="s">
        <v>3</v>
      </c>
      <c r="DG122" t="s">
        <v>3</v>
      </c>
      <c r="DH122" t="s">
        <v>3</v>
      </c>
      <c r="DI122" t="s">
        <v>3</v>
      </c>
      <c r="DJ122" t="s">
        <v>3</v>
      </c>
      <c r="DK122" t="s">
        <v>3</v>
      </c>
      <c r="DL122" t="s">
        <v>3</v>
      </c>
      <c r="DM122" t="s">
        <v>3</v>
      </c>
      <c r="DN122">
        <v>0</v>
      </c>
      <c r="DO122">
        <v>0</v>
      </c>
      <c r="DP122">
        <v>1</v>
      </c>
      <c r="DQ122">
        <v>1</v>
      </c>
      <c r="DU122">
        <v>1013</v>
      </c>
      <c r="DV122" t="s">
        <v>209</v>
      </c>
      <c r="DW122" t="s">
        <v>209</v>
      </c>
      <c r="DX122">
        <v>1</v>
      </c>
      <c r="DZ122" t="s">
        <v>3</v>
      </c>
      <c r="EA122" t="s">
        <v>3</v>
      </c>
      <c r="EB122" t="s">
        <v>3</v>
      </c>
      <c r="EC122" t="s">
        <v>3</v>
      </c>
      <c r="EE122">
        <v>22828459</v>
      </c>
      <c r="EF122">
        <v>201</v>
      </c>
      <c r="EG122" t="s">
        <v>199</v>
      </c>
      <c r="EH122">
        <v>0</v>
      </c>
      <c r="EI122" t="s">
        <v>3</v>
      </c>
      <c r="EJ122">
        <v>2</v>
      </c>
      <c r="EK122">
        <v>1618</v>
      </c>
      <c r="EL122" t="s">
        <v>200</v>
      </c>
      <c r="EM122" t="s">
        <v>201</v>
      </c>
      <c r="EO122" t="s">
        <v>3</v>
      </c>
      <c r="EQ122">
        <v>0</v>
      </c>
      <c r="ER122">
        <v>306.16000000000003</v>
      </c>
      <c r="ES122">
        <v>306.16000000000003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FQ122">
        <v>0</v>
      </c>
      <c r="FR122">
        <f t="shared" si="140"/>
        <v>0</v>
      </c>
      <c r="FS122">
        <v>0</v>
      </c>
      <c r="FX122">
        <v>0</v>
      </c>
      <c r="FY122">
        <v>0</v>
      </c>
      <c r="GA122" t="s">
        <v>3</v>
      </c>
      <c r="GD122">
        <v>0</v>
      </c>
      <c r="GF122">
        <v>1691931615</v>
      </c>
      <c r="GG122">
        <v>2</v>
      </c>
      <c r="GH122">
        <v>1</v>
      </c>
      <c r="GI122">
        <v>2</v>
      </c>
      <c r="GJ122">
        <v>0</v>
      </c>
      <c r="GK122">
        <f>ROUND(R122*(R12)/100,2)</f>
        <v>0</v>
      </c>
      <c r="GL122">
        <f t="shared" si="141"/>
        <v>0</v>
      </c>
      <c r="GM122">
        <f t="shared" si="142"/>
        <v>15718.25</v>
      </c>
      <c r="GN122">
        <f t="shared" si="143"/>
        <v>0</v>
      </c>
      <c r="GO122">
        <f t="shared" si="144"/>
        <v>15718.25</v>
      </c>
      <c r="GP122">
        <f t="shared" si="145"/>
        <v>0</v>
      </c>
      <c r="GR122">
        <v>0</v>
      </c>
      <c r="GS122">
        <v>0</v>
      </c>
      <c r="GT122">
        <v>0</v>
      </c>
      <c r="GU122" t="s">
        <v>3</v>
      </c>
      <c r="GV122">
        <f t="shared" si="146"/>
        <v>0</v>
      </c>
      <c r="GW122">
        <v>1</v>
      </c>
      <c r="GX122">
        <f t="shared" si="147"/>
        <v>0</v>
      </c>
      <c r="HA122">
        <v>0</v>
      </c>
      <c r="HB122">
        <v>0</v>
      </c>
      <c r="HC122">
        <f t="shared" si="148"/>
        <v>0</v>
      </c>
      <c r="HE122" t="s">
        <v>3</v>
      </c>
      <c r="HF122" t="s">
        <v>3</v>
      </c>
      <c r="IK122">
        <v>0</v>
      </c>
    </row>
    <row r="123" spans="1:245" x14ac:dyDescent="0.2">
      <c r="A123">
        <v>17</v>
      </c>
      <c r="B123">
        <v>1</v>
      </c>
      <c r="E123" t="s">
        <v>211</v>
      </c>
      <c r="F123" t="s">
        <v>212</v>
      </c>
      <c r="G123" t="s">
        <v>213</v>
      </c>
      <c r="H123" t="s">
        <v>209</v>
      </c>
      <c r="I123">
        <f>ROUND(I39,9)</f>
        <v>3</v>
      </c>
      <c r="J123">
        <v>0</v>
      </c>
      <c r="O123">
        <f t="shared" si="113"/>
        <v>7203.55</v>
      </c>
      <c r="P123">
        <f t="shared" si="114"/>
        <v>7203.55</v>
      </c>
      <c r="Q123">
        <f t="shared" si="115"/>
        <v>0</v>
      </c>
      <c r="R123">
        <f t="shared" si="116"/>
        <v>0</v>
      </c>
      <c r="S123">
        <f t="shared" si="117"/>
        <v>0</v>
      </c>
      <c r="T123">
        <f t="shared" si="118"/>
        <v>0</v>
      </c>
      <c r="U123">
        <f t="shared" si="119"/>
        <v>0</v>
      </c>
      <c r="V123">
        <f t="shared" si="120"/>
        <v>0</v>
      </c>
      <c r="W123">
        <f t="shared" si="121"/>
        <v>0</v>
      </c>
      <c r="X123">
        <f t="shared" si="122"/>
        <v>0</v>
      </c>
      <c r="Y123">
        <f t="shared" si="122"/>
        <v>0</v>
      </c>
      <c r="AA123">
        <v>23440596</v>
      </c>
      <c r="AB123">
        <f t="shared" si="123"/>
        <v>813.96</v>
      </c>
      <c r="AC123">
        <f t="shared" si="124"/>
        <v>813.96</v>
      </c>
      <c r="AD123">
        <f t="shared" si="125"/>
        <v>0</v>
      </c>
      <c r="AE123">
        <f t="shared" si="126"/>
        <v>0</v>
      </c>
      <c r="AF123">
        <f t="shared" si="126"/>
        <v>0</v>
      </c>
      <c r="AG123">
        <f t="shared" si="127"/>
        <v>0</v>
      </c>
      <c r="AH123">
        <f t="shared" si="128"/>
        <v>0</v>
      </c>
      <c r="AI123">
        <f t="shared" si="128"/>
        <v>0</v>
      </c>
      <c r="AJ123">
        <f t="shared" si="129"/>
        <v>0</v>
      </c>
      <c r="AK123">
        <v>813.96</v>
      </c>
      <c r="AL123">
        <v>813.96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1</v>
      </c>
      <c r="AW123">
        <v>1</v>
      </c>
      <c r="AZ123">
        <v>1</v>
      </c>
      <c r="BA123">
        <v>1</v>
      </c>
      <c r="BB123">
        <v>1</v>
      </c>
      <c r="BC123">
        <v>2.95</v>
      </c>
      <c r="BD123" t="s">
        <v>3</v>
      </c>
      <c r="BE123" t="s">
        <v>3</v>
      </c>
      <c r="BF123" t="s">
        <v>3</v>
      </c>
      <c r="BG123" t="s">
        <v>3</v>
      </c>
      <c r="BH123">
        <v>3</v>
      </c>
      <c r="BI123">
        <v>2</v>
      </c>
      <c r="BJ123" t="s">
        <v>214</v>
      </c>
      <c r="BM123">
        <v>1618</v>
      </c>
      <c r="BN123">
        <v>0</v>
      </c>
      <c r="BO123" t="s">
        <v>212</v>
      </c>
      <c r="BP123">
        <v>1</v>
      </c>
      <c r="BQ123">
        <v>201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3</v>
      </c>
      <c r="BZ123">
        <v>0</v>
      </c>
      <c r="CA123">
        <v>0</v>
      </c>
      <c r="CE123">
        <v>30</v>
      </c>
      <c r="CF123">
        <v>0</v>
      </c>
      <c r="CG123">
        <v>0</v>
      </c>
      <c r="CM123">
        <v>0</v>
      </c>
      <c r="CN123" t="s">
        <v>3</v>
      </c>
      <c r="CO123">
        <v>0</v>
      </c>
      <c r="CP123">
        <f t="shared" si="130"/>
        <v>7203.55</v>
      </c>
      <c r="CQ123">
        <f t="shared" si="131"/>
        <v>2401.1799999999998</v>
      </c>
      <c r="CR123">
        <f t="shared" si="132"/>
        <v>0</v>
      </c>
      <c r="CS123">
        <f t="shared" si="133"/>
        <v>0</v>
      </c>
      <c r="CT123">
        <f t="shared" si="134"/>
        <v>0</v>
      </c>
      <c r="CU123">
        <f t="shared" si="135"/>
        <v>0</v>
      </c>
      <c r="CV123">
        <f t="shared" si="136"/>
        <v>0</v>
      </c>
      <c r="CW123">
        <f t="shared" si="137"/>
        <v>0</v>
      </c>
      <c r="CX123">
        <f t="shared" si="137"/>
        <v>0</v>
      </c>
      <c r="CY123">
        <f t="shared" si="138"/>
        <v>0</v>
      </c>
      <c r="CZ123">
        <f t="shared" si="139"/>
        <v>0</v>
      </c>
      <c r="DC123" t="s">
        <v>3</v>
      </c>
      <c r="DD123" t="s">
        <v>3</v>
      </c>
      <c r="DE123" t="s">
        <v>3</v>
      </c>
      <c r="DF123" t="s">
        <v>3</v>
      </c>
      <c r="DG123" t="s">
        <v>3</v>
      </c>
      <c r="DH123" t="s">
        <v>3</v>
      </c>
      <c r="DI123" t="s">
        <v>3</v>
      </c>
      <c r="DJ123" t="s">
        <v>3</v>
      </c>
      <c r="DK123" t="s">
        <v>3</v>
      </c>
      <c r="DL123" t="s">
        <v>3</v>
      </c>
      <c r="DM123" t="s">
        <v>3</v>
      </c>
      <c r="DN123">
        <v>0</v>
      </c>
      <c r="DO123">
        <v>0</v>
      </c>
      <c r="DP123">
        <v>1</v>
      </c>
      <c r="DQ123">
        <v>1</v>
      </c>
      <c r="DU123">
        <v>1013</v>
      </c>
      <c r="DV123" t="s">
        <v>209</v>
      </c>
      <c r="DW123" t="s">
        <v>209</v>
      </c>
      <c r="DX123">
        <v>1</v>
      </c>
      <c r="DZ123" t="s">
        <v>3</v>
      </c>
      <c r="EA123" t="s">
        <v>3</v>
      </c>
      <c r="EB123" t="s">
        <v>3</v>
      </c>
      <c r="EC123" t="s">
        <v>3</v>
      </c>
      <c r="EE123">
        <v>22828459</v>
      </c>
      <c r="EF123">
        <v>201</v>
      </c>
      <c r="EG123" t="s">
        <v>199</v>
      </c>
      <c r="EH123">
        <v>0</v>
      </c>
      <c r="EI123" t="s">
        <v>3</v>
      </c>
      <c r="EJ123">
        <v>2</v>
      </c>
      <c r="EK123">
        <v>1618</v>
      </c>
      <c r="EL123" t="s">
        <v>200</v>
      </c>
      <c r="EM123" t="s">
        <v>201</v>
      </c>
      <c r="EO123" t="s">
        <v>3</v>
      </c>
      <c r="EQ123">
        <v>0</v>
      </c>
      <c r="ER123">
        <v>813.96</v>
      </c>
      <c r="ES123">
        <v>813.96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FQ123">
        <v>0</v>
      </c>
      <c r="FR123">
        <f t="shared" si="140"/>
        <v>0</v>
      </c>
      <c r="FS123">
        <v>0</v>
      </c>
      <c r="FX123">
        <v>0</v>
      </c>
      <c r="FY123">
        <v>0</v>
      </c>
      <c r="GA123" t="s">
        <v>3</v>
      </c>
      <c r="GD123">
        <v>0</v>
      </c>
      <c r="GF123">
        <v>-1966154933</v>
      </c>
      <c r="GG123">
        <v>2</v>
      </c>
      <c r="GH123">
        <v>1</v>
      </c>
      <c r="GI123">
        <v>2</v>
      </c>
      <c r="GJ123">
        <v>0</v>
      </c>
      <c r="GK123">
        <f>ROUND(R123*(R12)/100,2)</f>
        <v>0</v>
      </c>
      <c r="GL123">
        <f t="shared" si="141"/>
        <v>0</v>
      </c>
      <c r="GM123">
        <f t="shared" si="142"/>
        <v>7203.55</v>
      </c>
      <c r="GN123">
        <f t="shared" si="143"/>
        <v>0</v>
      </c>
      <c r="GO123">
        <f t="shared" si="144"/>
        <v>7203.55</v>
      </c>
      <c r="GP123">
        <f t="shared" si="145"/>
        <v>0</v>
      </c>
      <c r="GR123">
        <v>0</v>
      </c>
      <c r="GS123">
        <v>3</v>
      </c>
      <c r="GT123">
        <v>0</v>
      </c>
      <c r="GU123" t="s">
        <v>3</v>
      </c>
      <c r="GV123">
        <f t="shared" si="146"/>
        <v>0</v>
      </c>
      <c r="GW123">
        <v>1</v>
      </c>
      <c r="GX123">
        <f t="shared" si="147"/>
        <v>0</v>
      </c>
      <c r="HA123">
        <v>0</v>
      </c>
      <c r="HB123">
        <v>0</v>
      </c>
      <c r="HC123">
        <f t="shared" si="148"/>
        <v>0</v>
      </c>
      <c r="HE123" t="s">
        <v>3</v>
      </c>
      <c r="HF123" t="s">
        <v>3</v>
      </c>
      <c r="IK123">
        <v>0</v>
      </c>
    </row>
    <row r="124" spans="1:245" x14ac:dyDescent="0.2">
      <c r="A124">
        <v>17</v>
      </c>
      <c r="B124">
        <v>1</v>
      </c>
      <c r="E124" t="s">
        <v>215</v>
      </c>
      <c r="F124" t="s">
        <v>216</v>
      </c>
      <c r="G124" t="s">
        <v>217</v>
      </c>
      <c r="H124" t="s">
        <v>197</v>
      </c>
      <c r="I124">
        <f>ROUND(I34/10,9)</f>
        <v>3.2000000000000001E-2</v>
      </c>
      <c r="J124">
        <v>0</v>
      </c>
      <c r="O124">
        <f t="shared" si="113"/>
        <v>20309.72</v>
      </c>
      <c r="P124">
        <f t="shared" si="114"/>
        <v>20309.72</v>
      </c>
      <c r="Q124">
        <f t="shared" si="115"/>
        <v>0</v>
      </c>
      <c r="R124">
        <f t="shared" si="116"/>
        <v>0</v>
      </c>
      <c r="S124">
        <f t="shared" si="117"/>
        <v>0</v>
      </c>
      <c r="T124">
        <f t="shared" si="118"/>
        <v>0</v>
      </c>
      <c r="U124">
        <f t="shared" si="119"/>
        <v>0</v>
      </c>
      <c r="V124">
        <f t="shared" si="120"/>
        <v>0</v>
      </c>
      <c r="W124">
        <f t="shared" si="121"/>
        <v>0</v>
      </c>
      <c r="X124">
        <f t="shared" si="122"/>
        <v>0</v>
      </c>
      <c r="Y124">
        <f t="shared" si="122"/>
        <v>0</v>
      </c>
      <c r="AA124">
        <v>23440596</v>
      </c>
      <c r="AB124">
        <f t="shared" si="123"/>
        <v>140415.53</v>
      </c>
      <c r="AC124">
        <f t="shared" si="124"/>
        <v>140415.53</v>
      </c>
      <c r="AD124">
        <f t="shared" si="125"/>
        <v>0</v>
      </c>
      <c r="AE124">
        <f t="shared" si="126"/>
        <v>0</v>
      </c>
      <c r="AF124">
        <f t="shared" si="126"/>
        <v>0</v>
      </c>
      <c r="AG124">
        <f t="shared" si="127"/>
        <v>0</v>
      </c>
      <c r="AH124">
        <f t="shared" si="128"/>
        <v>0</v>
      </c>
      <c r="AI124">
        <f t="shared" si="128"/>
        <v>0</v>
      </c>
      <c r="AJ124">
        <f t="shared" si="129"/>
        <v>0</v>
      </c>
      <c r="AK124">
        <v>140415.53</v>
      </c>
      <c r="AL124">
        <v>140415.53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1</v>
      </c>
      <c r="AW124">
        <v>1</v>
      </c>
      <c r="AZ124">
        <v>1</v>
      </c>
      <c r="BA124">
        <v>1</v>
      </c>
      <c r="BB124">
        <v>1</v>
      </c>
      <c r="BC124">
        <v>4.5199999999999996</v>
      </c>
      <c r="BD124" t="s">
        <v>3</v>
      </c>
      <c r="BE124" t="s">
        <v>3</v>
      </c>
      <c r="BF124" t="s">
        <v>3</v>
      </c>
      <c r="BG124" t="s">
        <v>3</v>
      </c>
      <c r="BH124">
        <v>3</v>
      </c>
      <c r="BI124">
        <v>2</v>
      </c>
      <c r="BJ124" t="s">
        <v>218</v>
      </c>
      <c r="BM124">
        <v>1618</v>
      </c>
      <c r="BN124">
        <v>0</v>
      </c>
      <c r="BO124" t="s">
        <v>216</v>
      </c>
      <c r="BP124">
        <v>1</v>
      </c>
      <c r="BQ124">
        <v>201</v>
      </c>
      <c r="BR124">
        <v>0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Y124" t="s">
        <v>3</v>
      </c>
      <c r="BZ124">
        <v>0</v>
      </c>
      <c r="CA124">
        <v>0</v>
      </c>
      <c r="CE124">
        <v>30</v>
      </c>
      <c r="CF124">
        <v>0</v>
      </c>
      <c r="CG124">
        <v>0</v>
      </c>
      <c r="CM124">
        <v>0</v>
      </c>
      <c r="CN124" t="s">
        <v>3</v>
      </c>
      <c r="CO124">
        <v>0</v>
      </c>
      <c r="CP124">
        <f t="shared" si="130"/>
        <v>20309.72</v>
      </c>
      <c r="CQ124">
        <f t="shared" si="131"/>
        <v>634678.19999999995</v>
      </c>
      <c r="CR124">
        <f t="shared" si="132"/>
        <v>0</v>
      </c>
      <c r="CS124">
        <f t="shared" si="133"/>
        <v>0</v>
      </c>
      <c r="CT124">
        <f t="shared" si="134"/>
        <v>0</v>
      </c>
      <c r="CU124">
        <f t="shared" si="135"/>
        <v>0</v>
      </c>
      <c r="CV124">
        <f t="shared" si="136"/>
        <v>0</v>
      </c>
      <c r="CW124">
        <f t="shared" si="137"/>
        <v>0</v>
      </c>
      <c r="CX124">
        <f t="shared" si="137"/>
        <v>0</v>
      </c>
      <c r="CY124">
        <f t="shared" si="138"/>
        <v>0</v>
      </c>
      <c r="CZ124">
        <f t="shared" si="139"/>
        <v>0</v>
      </c>
      <c r="DC124" t="s">
        <v>3</v>
      </c>
      <c r="DD124" t="s">
        <v>3</v>
      </c>
      <c r="DE124" t="s">
        <v>3</v>
      </c>
      <c r="DF124" t="s">
        <v>3</v>
      </c>
      <c r="DG124" t="s">
        <v>3</v>
      </c>
      <c r="DH124" t="s">
        <v>3</v>
      </c>
      <c r="DI124" t="s">
        <v>3</v>
      </c>
      <c r="DJ124" t="s">
        <v>3</v>
      </c>
      <c r="DK124" t="s">
        <v>3</v>
      </c>
      <c r="DL124" t="s">
        <v>3</v>
      </c>
      <c r="DM124" t="s">
        <v>3</v>
      </c>
      <c r="DN124">
        <v>0</v>
      </c>
      <c r="DO124">
        <v>0</v>
      </c>
      <c r="DP124">
        <v>1</v>
      </c>
      <c r="DQ124">
        <v>1</v>
      </c>
      <c r="DU124">
        <v>1003</v>
      </c>
      <c r="DV124" t="s">
        <v>197</v>
      </c>
      <c r="DW124" t="s">
        <v>197</v>
      </c>
      <c r="DX124">
        <v>1000</v>
      </c>
      <c r="DZ124" t="s">
        <v>3</v>
      </c>
      <c r="EA124" t="s">
        <v>3</v>
      </c>
      <c r="EB124" t="s">
        <v>3</v>
      </c>
      <c r="EC124" t="s">
        <v>3</v>
      </c>
      <c r="EE124">
        <v>22828459</v>
      </c>
      <c r="EF124">
        <v>201</v>
      </c>
      <c r="EG124" t="s">
        <v>199</v>
      </c>
      <c r="EH124">
        <v>0</v>
      </c>
      <c r="EI124" t="s">
        <v>3</v>
      </c>
      <c r="EJ124">
        <v>2</v>
      </c>
      <c r="EK124">
        <v>1618</v>
      </c>
      <c r="EL124" t="s">
        <v>200</v>
      </c>
      <c r="EM124" t="s">
        <v>201</v>
      </c>
      <c r="EO124" t="s">
        <v>3</v>
      </c>
      <c r="EQ124">
        <v>0</v>
      </c>
      <c r="ER124">
        <v>140415.53</v>
      </c>
      <c r="ES124">
        <v>140415.53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FQ124">
        <v>0</v>
      </c>
      <c r="FR124">
        <f t="shared" si="140"/>
        <v>0</v>
      </c>
      <c r="FS124">
        <v>0</v>
      </c>
      <c r="FX124">
        <v>0</v>
      </c>
      <c r="FY124">
        <v>0</v>
      </c>
      <c r="GA124" t="s">
        <v>3</v>
      </c>
      <c r="GD124">
        <v>0</v>
      </c>
      <c r="GF124">
        <v>1630844728</v>
      </c>
      <c r="GG124">
        <v>2</v>
      </c>
      <c r="GH124">
        <v>1</v>
      </c>
      <c r="GI124">
        <v>2</v>
      </c>
      <c r="GJ124">
        <v>0</v>
      </c>
      <c r="GK124">
        <f>ROUND(R124*(R12)/100,2)</f>
        <v>0</v>
      </c>
      <c r="GL124">
        <f t="shared" si="141"/>
        <v>0</v>
      </c>
      <c r="GM124">
        <f t="shared" si="142"/>
        <v>20309.72</v>
      </c>
      <c r="GN124">
        <f t="shared" si="143"/>
        <v>0</v>
      </c>
      <c r="GO124">
        <f t="shared" si="144"/>
        <v>20309.72</v>
      </c>
      <c r="GP124">
        <f t="shared" si="145"/>
        <v>0</v>
      </c>
      <c r="GR124">
        <v>0</v>
      </c>
      <c r="GS124">
        <v>3</v>
      </c>
      <c r="GT124">
        <v>0</v>
      </c>
      <c r="GU124" t="s">
        <v>3</v>
      </c>
      <c r="GV124">
        <f t="shared" si="146"/>
        <v>0</v>
      </c>
      <c r="GW124">
        <v>1</v>
      </c>
      <c r="GX124">
        <f t="shared" si="147"/>
        <v>0</v>
      </c>
      <c r="HA124">
        <v>0</v>
      </c>
      <c r="HB124">
        <v>0</v>
      </c>
      <c r="HC124">
        <f t="shared" si="148"/>
        <v>0</v>
      </c>
      <c r="HE124" t="s">
        <v>3</v>
      </c>
      <c r="HF124" t="s">
        <v>3</v>
      </c>
      <c r="IK124">
        <v>0</v>
      </c>
    </row>
    <row r="125" spans="1:245" x14ac:dyDescent="0.2">
      <c r="A125">
        <v>17</v>
      </c>
      <c r="B125">
        <v>1</v>
      </c>
      <c r="E125" t="s">
        <v>219</v>
      </c>
      <c r="F125" t="s">
        <v>220</v>
      </c>
      <c r="G125" t="s">
        <v>221</v>
      </c>
      <c r="H125" t="s">
        <v>26</v>
      </c>
      <c r="I125">
        <f>ROUND(0.03,9)</f>
        <v>0.03</v>
      </c>
      <c r="J125">
        <v>0</v>
      </c>
      <c r="O125">
        <f t="shared" si="113"/>
        <v>5923.39</v>
      </c>
      <c r="P125">
        <f t="shared" si="114"/>
        <v>5923.39</v>
      </c>
      <c r="Q125">
        <f t="shared" si="115"/>
        <v>0</v>
      </c>
      <c r="R125">
        <f t="shared" si="116"/>
        <v>0</v>
      </c>
      <c r="S125">
        <f t="shared" si="117"/>
        <v>0</v>
      </c>
      <c r="T125">
        <f t="shared" si="118"/>
        <v>0</v>
      </c>
      <c r="U125">
        <f t="shared" si="119"/>
        <v>0</v>
      </c>
      <c r="V125">
        <f t="shared" si="120"/>
        <v>0</v>
      </c>
      <c r="W125">
        <f t="shared" si="121"/>
        <v>0</v>
      </c>
      <c r="X125">
        <f t="shared" si="122"/>
        <v>0</v>
      </c>
      <c r="Y125">
        <f t="shared" si="122"/>
        <v>0</v>
      </c>
      <c r="AA125">
        <v>23440596</v>
      </c>
      <c r="AB125">
        <f t="shared" si="123"/>
        <v>31290.95</v>
      </c>
      <c r="AC125">
        <f t="shared" si="124"/>
        <v>31290.95</v>
      </c>
      <c r="AD125">
        <f t="shared" si="125"/>
        <v>0</v>
      </c>
      <c r="AE125">
        <f t="shared" si="126"/>
        <v>0</v>
      </c>
      <c r="AF125">
        <f t="shared" si="126"/>
        <v>0</v>
      </c>
      <c r="AG125">
        <f t="shared" si="127"/>
        <v>0</v>
      </c>
      <c r="AH125">
        <f t="shared" si="128"/>
        <v>0</v>
      </c>
      <c r="AI125">
        <f t="shared" si="128"/>
        <v>0</v>
      </c>
      <c r="AJ125">
        <f t="shared" si="129"/>
        <v>0</v>
      </c>
      <c r="AK125">
        <v>31290.95</v>
      </c>
      <c r="AL125">
        <v>31290.95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v>6.31</v>
      </c>
      <c r="BD125" t="s">
        <v>3</v>
      </c>
      <c r="BE125" t="s">
        <v>3</v>
      </c>
      <c r="BF125" t="s">
        <v>3</v>
      </c>
      <c r="BG125" t="s">
        <v>3</v>
      </c>
      <c r="BH125">
        <v>3</v>
      </c>
      <c r="BI125">
        <v>2</v>
      </c>
      <c r="BJ125" t="s">
        <v>222</v>
      </c>
      <c r="BM125">
        <v>1618</v>
      </c>
      <c r="BN125">
        <v>0</v>
      </c>
      <c r="BO125" t="s">
        <v>220</v>
      </c>
      <c r="BP125">
        <v>1</v>
      </c>
      <c r="BQ125">
        <v>201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3</v>
      </c>
      <c r="BZ125">
        <v>0</v>
      </c>
      <c r="CA125">
        <v>0</v>
      </c>
      <c r="CE125">
        <v>30</v>
      </c>
      <c r="CF125">
        <v>0</v>
      </c>
      <c r="CG125">
        <v>0</v>
      </c>
      <c r="CM125">
        <v>0</v>
      </c>
      <c r="CN125" t="s">
        <v>3</v>
      </c>
      <c r="CO125">
        <v>0</v>
      </c>
      <c r="CP125">
        <f t="shared" si="130"/>
        <v>5923.39</v>
      </c>
      <c r="CQ125">
        <f t="shared" si="131"/>
        <v>197445.89</v>
      </c>
      <c r="CR125">
        <f t="shared" si="132"/>
        <v>0</v>
      </c>
      <c r="CS125">
        <f t="shared" si="133"/>
        <v>0</v>
      </c>
      <c r="CT125">
        <f t="shared" si="134"/>
        <v>0</v>
      </c>
      <c r="CU125">
        <f t="shared" si="135"/>
        <v>0</v>
      </c>
      <c r="CV125">
        <f t="shared" si="136"/>
        <v>0</v>
      </c>
      <c r="CW125">
        <f t="shared" si="137"/>
        <v>0</v>
      </c>
      <c r="CX125">
        <f t="shared" si="137"/>
        <v>0</v>
      </c>
      <c r="CY125">
        <f t="shared" si="138"/>
        <v>0</v>
      </c>
      <c r="CZ125">
        <f t="shared" si="139"/>
        <v>0</v>
      </c>
      <c r="DC125" t="s">
        <v>3</v>
      </c>
      <c r="DD125" t="s">
        <v>3</v>
      </c>
      <c r="DE125" t="s">
        <v>3</v>
      </c>
      <c r="DF125" t="s">
        <v>3</v>
      </c>
      <c r="DG125" t="s">
        <v>3</v>
      </c>
      <c r="DH125" t="s">
        <v>3</v>
      </c>
      <c r="DI125" t="s">
        <v>3</v>
      </c>
      <c r="DJ125" t="s">
        <v>3</v>
      </c>
      <c r="DK125" t="s">
        <v>3</v>
      </c>
      <c r="DL125" t="s">
        <v>3</v>
      </c>
      <c r="DM125" t="s">
        <v>3</v>
      </c>
      <c r="DN125">
        <v>0</v>
      </c>
      <c r="DO125">
        <v>0</v>
      </c>
      <c r="DP125">
        <v>1</v>
      </c>
      <c r="DQ125">
        <v>1</v>
      </c>
      <c r="DU125">
        <v>1009</v>
      </c>
      <c r="DV125" t="s">
        <v>26</v>
      </c>
      <c r="DW125" t="s">
        <v>26</v>
      </c>
      <c r="DX125">
        <v>1000</v>
      </c>
      <c r="DZ125" t="s">
        <v>3</v>
      </c>
      <c r="EA125" t="s">
        <v>3</v>
      </c>
      <c r="EB125" t="s">
        <v>3</v>
      </c>
      <c r="EC125" t="s">
        <v>3</v>
      </c>
      <c r="EE125">
        <v>22828459</v>
      </c>
      <c r="EF125">
        <v>201</v>
      </c>
      <c r="EG125" t="s">
        <v>199</v>
      </c>
      <c r="EH125">
        <v>0</v>
      </c>
      <c r="EI125" t="s">
        <v>3</v>
      </c>
      <c r="EJ125">
        <v>2</v>
      </c>
      <c r="EK125">
        <v>1618</v>
      </c>
      <c r="EL125" t="s">
        <v>200</v>
      </c>
      <c r="EM125" t="s">
        <v>201</v>
      </c>
      <c r="EO125" t="s">
        <v>3</v>
      </c>
      <c r="EQ125">
        <v>0</v>
      </c>
      <c r="ER125">
        <v>31290.95</v>
      </c>
      <c r="ES125">
        <v>31290.95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FQ125">
        <v>0</v>
      </c>
      <c r="FR125">
        <f t="shared" si="140"/>
        <v>0</v>
      </c>
      <c r="FS125">
        <v>0</v>
      </c>
      <c r="FX125">
        <v>0</v>
      </c>
      <c r="FY125">
        <v>0</v>
      </c>
      <c r="GA125" t="s">
        <v>3</v>
      </c>
      <c r="GD125">
        <v>0</v>
      </c>
      <c r="GF125">
        <v>1593528086</v>
      </c>
      <c r="GG125">
        <v>2</v>
      </c>
      <c r="GH125">
        <v>1</v>
      </c>
      <c r="GI125">
        <v>2</v>
      </c>
      <c r="GJ125">
        <v>0</v>
      </c>
      <c r="GK125">
        <f>ROUND(R125*(R12)/100,2)</f>
        <v>0</v>
      </c>
      <c r="GL125">
        <f t="shared" si="141"/>
        <v>0</v>
      </c>
      <c r="GM125">
        <f t="shared" si="142"/>
        <v>5923.39</v>
      </c>
      <c r="GN125">
        <f t="shared" si="143"/>
        <v>0</v>
      </c>
      <c r="GO125">
        <f t="shared" si="144"/>
        <v>5923.39</v>
      </c>
      <c r="GP125">
        <f t="shared" si="145"/>
        <v>0</v>
      </c>
      <c r="GR125">
        <v>0</v>
      </c>
      <c r="GS125">
        <v>3</v>
      </c>
      <c r="GT125">
        <v>0</v>
      </c>
      <c r="GU125" t="s">
        <v>3</v>
      </c>
      <c r="GV125">
        <f t="shared" si="146"/>
        <v>0</v>
      </c>
      <c r="GW125">
        <v>1</v>
      </c>
      <c r="GX125">
        <f t="shared" si="147"/>
        <v>0</v>
      </c>
      <c r="HA125">
        <v>0</v>
      </c>
      <c r="HB125">
        <v>0</v>
      </c>
      <c r="HC125">
        <f t="shared" si="148"/>
        <v>0</v>
      </c>
      <c r="HE125" t="s">
        <v>3</v>
      </c>
      <c r="HF125" t="s">
        <v>3</v>
      </c>
      <c r="IK125">
        <v>0</v>
      </c>
    </row>
    <row r="126" spans="1:245" x14ac:dyDescent="0.2">
      <c r="A126">
        <v>17</v>
      </c>
      <c r="B126">
        <v>1</v>
      </c>
      <c r="E126" t="s">
        <v>223</v>
      </c>
      <c r="F126" s="144" t="s">
        <v>348</v>
      </c>
      <c r="G126" t="s">
        <v>224</v>
      </c>
      <c r="H126" t="s">
        <v>225</v>
      </c>
      <c r="I126">
        <v>1</v>
      </c>
      <c r="J126">
        <v>0</v>
      </c>
      <c r="O126">
        <f t="shared" si="113"/>
        <v>1563409.86</v>
      </c>
      <c r="P126">
        <f t="shared" si="114"/>
        <v>1563409.86</v>
      </c>
      <c r="Q126">
        <f t="shared" si="115"/>
        <v>0</v>
      </c>
      <c r="R126">
        <f t="shared" si="116"/>
        <v>0</v>
      </c>
      <c r="S126">
        <f t="shared" si="117"/>
        <v>0</v>
      </c>
      <c r="T126">
        <f t="shared" si="118"/>
        <v>0</v>
      </c>
      <c r="U126">
        <f t="shared" si="119"/>
        <v>0</v>
      </c>
      <c r="V126">
        <f t="shared" si="120"/>
        <v>0</v>
      </c>
      <c r="W126">
        <f t="shared" si="121"/>
        <v>0</v>
      </c>
      <c r="X126">
        <f t="shared" si="122"/>
        <v>0</v>
      </c>
      <c r="Y126">
        <f t="shared" si="122"/>
        <v>0</v>
      </c>
      <c r="AA126">
        <v>23440596</v>
      </c>
      <c r="AB126">
        <f t="shared" si="123"/>
        <v>1563409.86</v>
      </c>
      <c r="AC126">
        <f t="shared" si="124"/>
        <v>1563409.86</v>
      </c>
      <c r="AD126">
        <f t="shared" si="125"/>
        <v>0</v>
      </c>
      <c r="AE126">
        <f t="shared" si="126"/>
        <v>0</v>
      </c>
      <c r="AF126">
        <f t="shared" si="126"/>
        <v>0</v>
      </c>
      <c r="AG126">
        <f t="shared" si="127"/>
        <v>0</v>
      </c>
      <c r="AH126">
        <f t="shared" si="128"/>
        <v>0</v>
      </c>
      <c r="AI126">
        <f t="shared" si="128"/>
        <v>0</v>
      </c>
      <c r="AJ126">
        <f t="shared" si="129"/>
        <v>0</v>
      </c>
      <c r="AK126">
        <v>1563409.86</v>
      </c>
      <c r="AL126">
        <v>1563409.86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1</v>
      </c>
      <c r="AW126">
        <v>1</v>
      </c>
      <c r="AZ126">
        <v>1</v>
      </c>
      <c r="BA126">
        <v>1</v>
      </c>
      <c r="BB126">
        <v>1</v>
      </c>
      <c r="BC126">
        <v>1</v>
      </c>
      <c r="BD126" t="s">
        <v>3</v>
      </c>
      <c r="BE126" t="s">
        <v>3</v>
      </c>
      <c r="BF126" t="s">
        <v>3</v>
      </c>
      <c r="BG126" t="s">
        <v>3</v>
      </c>
      <c r="BH126">
        <v>3</v>
      </c>
      <c r="BI126">
        <v>4</v>
      </c>
      <c r="BJ126" t="s">
        <v>3</v>
      </c>
      <c r="BM126">
        <v>0</v>
      </c>
      <c r="BN126">
        <v>0</v>
      </c>
      <c r="BO126" t="s">
        <v>3</v>
      </c>
      <c r="BP126">
        <v>0</v>
      </c>
      <c r="BQ126">
        <v>0</v>
      </c>
      <c r="BR126">
        <v>0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Y126" t="s">
        <v>3</v>
      </c>
      <c r="BZ126">
        <v>0</v>
      </c>
      <c r="CA126">
        <v>0</v>
      </c>
      <c r="CE126">
        <v>30</v>
      </c>
      <c r="CF126">
        <v>0</v>
      </c>
      <c r="CG126">
        <v>0</v>
      </c>
      <c r="CM126">
        <v>0</v>
      </c>
      <c r="CN126" t="s">
        <v>3</v>
      </c>
      <c r="CO126">
        <v>0</v>
      </c>
      <c r="CP126">
        <f t="shared" si="130"/>
        <v>1563409.86</v>
      </c>
      <c r="CQ126">
        <f t="shared" si="131"/>
        <v>1563409.86</v>
      </c>
      <c r="CR126">
        <f t="shared" si="132"/>
        <v>0</v>
      </c>
      <c r="CS126">
        <f t="shared" si="133"/>
        <v>0</v>
      </c>
      <c r="CT126">
        <f t="shared" si="134"/>
        <v>0</v>
      </c>
      <c r="CU126">
        <f t="shared" si="135"/>
        <v>0</v>
      </c>
      <c r="CV126">
        <f t="shared" si="136"/>
        <v>0</v>
      </c>
      <c r="CW126">
        <f t="shared" si="137"/>
        <v>0</v>
      </c>
      <c r="CX126">
        <f t="shared" si="137"/>
        <v>0</v>
      </c>
      <c r="CY126">
        <f t="shared" si="138"/>
        <v>0</v>
      </c>
      <c r="CZ126">
        <f t="shared" si="139"/>
        <v>0</v>
      </c>
      <c r="DC126" t="s">
        <v>3</v>
      </c>
      <c r="DD126" t="s">
        <v>3</v>
      </c>
      <c r="DE126" t="s">
        <v>3</v>
      </c>
      <c r="DF126" t="s">
        <v>3</v>
      </c>
      <c r="DG126" t="s">
        <v>3</v>
      </c>
      <c r="DH126" t="s">
        <v>3</v>
      </c>
      <c r="DI126" t="s">
        <v>3</v>
      </c>
      <c r="DJ126" t="s">
        <v>3</v>
      </c>
      <c r="DK126" t="s">
        <v>3</v>
      </c>
      <c r="DL126" t="s">
        <v>3</v>
      </c>
      <c r="DM126" t="s">
        <v>3</v>
      </c>
      <c r="DN126">
        <v>0</v>
      </c>
      <c r="DO126">
        <v>0</v>
      </c>
      <c r="DP126">
        <v>1</v>
      </c>
      <c r="DQ126">
        <v>1</v>
      </c>
      <c r="DU126">
        <v>1013</v>
      </c>
      <c r="DV126" t="s">
        <v>225</v>
      </c>
      <c r="DW126" t="s">
        <v>225</v>
      </c>
      <c r="DX126">
        <v>1</v>
      </c>
      <c r="DZ126" t="s">
        <v>3</v>
      </c>
      <c r="EA126" t="s">
        <v>3</v>
      </c>
      <c r="EB126" t="s">
        <v>3</v>
      </c>
      <c r="EC126" t="s">
        <v>3</v>
      </c>
      <c r="EE126">
        <v>22826841</v>
      </c>
      <c r="EF126">
        <v>0</v>
      </c>
      <c r="EG126" t="s">
        <v>3</v>
      </c>
      <c r="EH126">
        <v>0</v>
      </c>
      <c r="EI126" t="s">
        <v>3</v>
      </c>
      <c r="EJ126">
        <v>4</v>
      </c>
      <c r="EK126">
        <v>0</v>
      </c>
      <c r="EL126" t="s">
        <v>226</v>
      </c>
      <c r="EM126" t="s">
        <v>227</v>
      </c>
      <c r="EO126" t="s">
        <v>3</v>
      </c>
      <c r="EQ126">
        <v>0</v>
      </c>
      <c r="ER126">
        <v>1563409.86</v>
      </c>
      <c r="ES126">
        <v>1563409.86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5</v>
      </c>
      <c r="FC126">
        <v>0</v>
      </c>
      <c r="FD126">
        <v>18</v>
      </c>
      <c r="FF126">
        <v>1563409.86</v>
      </c>
      <c r="FQ126">
        <v>0</v>
      </c>
      <c r="FR126">
        <f t="shared" si="140"/>
        <v>0</v>
      </c>
      <c r="FS126">
        <v>0</v>
      </c>
      <c r="FX126">
        <v>0</v>
      </c>
      <c r="FY126">
        <v>0</v>
      </c>
      <c r="GA126" t="s">
        <v>3</v>
      </c>
      <c r="GD126">
        <v>0</v>
      </c>
      <c r="GF126">
        <v>-1973346204</v>
      </c>
      <c r="GG126">
        <v>2</v>
      </c>
      <c r="GH126">
        <v>3</v>
      </c>
      <c r="GI126">
        <v>-2</v>
      </c>
      <c r="GJ126">
        <v>0</v>
      </c>
      <c r="GK126">
        <f>ROUND(R126*(R12)/100,2)</f>
        <v>0</v>
      </c>
      <c r="GL126">
        <f t="shared" si="141"/>
        <v>0</v>
      </c>
      <c r="GM126">
        <f t="shared" si="142"/>
        <v>1563409.86</v>
      </c>
      <c r="GN126">
        <f t="shared" si="143"/>
        <v>0</v>
      </c>
      <c r="GO126">
        <f t="shared" si="144"/>
        <v>0</v>
      </c>
      <c r="GP126">
        <f t="shared" si="145"/>
        <v>1563409.86</v>
      </c>
      <c r="GR126">
        <v>1</v>
      </c>
      <c r="GS126">
        <v>1</v>
      </c>
      <c r="GT126">
        <v>0</v>
      </c>
      <c r="GU126" t="s">
        <v>3</v>
      </c>
      <c r="GV126">
        <f t="shared" si="146"/>
        <v>0</v>
      </c>
      <c r="GW126">
        <v>1</v>
      </c>
      <c r="GX126">
        <f t="shared" si="147"/>
        <v>0</v>
      </c>
      <c r="HA126">
        <v>0</v>
      </c>
      <c r="HB126">
        <v>0</v>
      </c>
      <c r="HC126">
        <f t="shared" si="148"/>
        <v>0</v>
      </c>
      <c r="HE126" t="s">
        <v>3</v>
      </c>
      <c r="HF126" t="s">
        <v>3</v>
      </c>
      <c r="IK126">
        <v>0</v>
      </c>
    </row>
    <row r="128" spans="1:245" x14ac:dyDescent="0.2">
      <c r="A128" s="2">
        <v>51</v>
      </c>
      <c r="B128" s="2">
        <f>B116</f>
        <v>1</v>
      </c>
      <c r="C128" s="2">
        <f>A116</f>
        <v>4</v>
      </c>
      <c r="D128" s="2">
        <f>ROW(A116)</f>
        <v>116</v>
      </c>
      <c r="E128" s="2"/>
      <c r="F128" s="2" t="str">
        <f>IF(F116&lt;&gt;"",F116,"")</f>
        <v>Новый раздел</v>
      </c>
      <c r="G128" s="2" t="str">
        <f>IF(G116&lt;&gt;"",G116,"")</f>
        <v>Материалы, не учтенные ценником и оборудование.</v>
      </c>
      <c r="H128" s="2">
        <v>0</v>
      </c>
      <c r="I128" s="2"/>
      <c r="J128" s="2"/>
      <c r="K128" s="2"/>
      <c r="L128" s="2"/>
      <c r="M128" s="2"/>
      <c r="N128" s="2"/>
      <c r="O128" s="2">
        <f t="shared" ref="O128:T128" si="149">ROUND(AB128,2)</f>
        <v>1618017.75</v>
      </c>
      <c r="P128" s="2">
        <f t="shared" si="149"/>
        <v>1618017.75</v>
      </c>
      <c r="Q128" s="2">
        <f t="shared" si="149"/>
        <v>0</v>
      </c>
      <c r="R128" s="2">
        <f t="shared" si="149"/>
        <v>0</v>
      </c>
      <c r="S128" s="2">
        <f t="shared" si="149"/>
        <v>0</v>
      </c>
      <c r="T128" s="2">
        <f t="shared" si="149"/>
        <v>0</v>
      </c>
      <c r="U128" s="2">
        <f>AH128</f>
        <v>0</v>
      </c>
      <c r="V128" s="2">
        <f>AI128</f>
        <v>0</v>
      </c>
      <c r="W128" s="2">
        <f>ROUND(AJ128,2)</f>
        <v>0</v>
      </c>
      <c r="X128" s="2">
        <f>ROUND(AK128,2)</f>
        <v>0</v>
      </c>
      <c r="Y128" s="2">
        <f>ROUND(AL128,2)</f>
        <v>0</v>
      </c>
      <c r="Z128" s="2"/>
      <c r="AA128" s="2"/>
      <c r="AB128" s="2">
        <f>ROUND(SUMIF(AA120:AA126,"=23440596",O120:O126),2)</f>
        <v>1618017.75</v>
      </c>
      <c r="AC128" s="2">
        <f>ROUND(SUMIF(AA120:AA126,"=23440596",P120:P126),2)</f>
        <v>1618017.75</v>
      </c>
      <c r="AD128" s="2">
        <f>ROUND(SUMIF(AA120:AA126,"=23440596",Q120:Q126),2)</f>
        <v>0</v>
      </c>
      <c r="AE128" s="2">
        <f>ROUND(SUMIF(AA120:AA126,"=23440596",R120:R126),2)</f>
        <v>0</v>
      </c>
      <c r="AF128" s="2">
        <f>ROUND(SUMIF(AA120:AA126,"=23440596",S120:S126),2)</f>
        <v>0</v>
      </c>
      <c r="AG128" s="2">
        <f>ROUND(SUMIF(AA120:AA126,"=23440596",T120:T126),2)</f>
        <v>0</v>
      </c>
      <c r="AH128" s="2">
        <f>SUMIF(AA120:AA126,"=23440596",U120:U126)</f>
        <v>0</v>
      </c>
      <c r="AI128" s="2">
        <f>SUMIF(AA120:AA126,"=23440596",V120:V126)</f>
        <v>0</v>
      </c>
      <c r="AJ128" s="2">
        <f>ROUND(SUMIF(AA120:AA126,"=23440596",W120:W126),2)</f>
        <v>0</v>
      </c>
      <c r="AK128" s="2">
        <f>ROUND(SUMIF(AA120:AA126,"=23440596",X120:X126),2)</f>
        <v>0</v>
      </c>
      <c r="AL128" s="2">
        <f>ROUND(SUMIF(AA120:AA126,"=23440596",Y120:Y126),2)</f>
        <v>0</v>
      </c>
      <c r="AM128" s="2"/>
      <c r="AN128" s="2"/>
      <c r="AO128" s="2">
        <f t="shared" ref="AO128:BD128" si="150">ROUND(BX128,2)</f>
        <v>0</v>
      </c>
      <c r="AP128" s="2">
        <f t="shared" si="150"/>
        <v>0</v>
      </c>
      <c r="AQ128" s="2">
        <f t="shared" si="150"/>
        <v>0</v>
      </c>
      <c r="AR128" s="2">
        <f t="shared" si="150"/>
        <v>1618017.75</v>
      </c>
      <c r="AS128" s="2">
        <f t="shared" si="150"/>
        <v>0</v>
      </c>
      <c r="AT128" s="2">
        <f t="shared" si="150"/>
        <v>54607.89</v>
      </c>
      <c r="AU128" s="2">
        <f t="shared" si="150"/>
        <v>1563409.86</v>
      </c>
      <c r="AV128" s="2">
        <f t="shared" si="150"/>
        <v>1618017.75</v>
      </c>
      <c r="AW128" s="2">
        <f t="shared" si="150"/>
        <v>1618017.75</v>
      </c>
      <c r="AX128" s="2">
        <f t="shared" si="150"/>
        <v>0</v>
      </c>
      <c r="AY128" s="2">
        <f t="shared" si="150"/>
        <v>1618017.75</v>
      </c>
      <c r="AZ128" s="2">
        <f t="shared" si="150"/>
        <v>0</v>
      </c>
      <c r="BA128" s="2">
        <f t="shared" si="150"/>
        <v>0</v>
      </c>
      <c r="BB128" s="2">
        <f t="shared" si="150"/>
        <v>0</v>
      </c>
      <c r="BC128" s="2">
        <f t="shared" si="150"/>
        <v>0</v>
      </c>
      <c r="BD128" s="2">
        <f t="shared" si="150"/>
        <v>0</v>
      </c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>
        <f>ROUND(SUMIF(AA120:AA126,"=23440596",FQ120:FQ126),2)</f>
        <v>0</v>
      </c>
      <c r="BY128" s="2">
        <f>ROUND(SUMIF(AA120:AA126,"=23440596",FR120:FR126),2)</f>
        <v>0</v>
      </c>
      <c r="BZ128" s="2">
        <f>ROUND(SUMIF(AA120:AA126,"=23440596",GL120:GL126),2)</f>
        <v>0</v>
      </c>
      <c r="CA128" s="2">
        <f>ROUND(SUMIF(AA120:AA126,"=23440596",GM120:GM126),2)</f>
        <v>1618017.75</v>
      </c>
      <c r="CB128" s="2">
        <f>ROUND(SUMIF(AA120:AA126,"=23440596",GN120:GN126),2)</f>
        <v>0</v>
      </c>
      <c r="CC128" s="2">
        <f>ROUND(SUMIF(AA120:AA126,"=23440596",GO120:GO126),2)</f>
        <v>54607.89</v>
      </c>
      <c r="CD128" s="2">
        <f>ROUND(SUMIF(AA120:AA126,"=23440596",GP120:GP126),2)</f>
        <v>1563409.86</v>
      </c>
      <c r="CE128" s="2">
        <f>AC128-BX128</f>
        <v>1618017.75</v>
      </c>
      <c r="CF128" s="2">
        <f>AC128-BY128</f>
        <v>1618017.75</v>
      </c>
      <c r="CG128" s="2">
        <f>BX128-BZ128</f>
        <v>0</v>
      </c>
      <c r="CH128" s="2">
        <f>AC128-BX128-BY128+BZ128</f>
        <v>1618017.75</v>
      </c>
      <c r="CI128" s="2">
        <f>BY128-BZ128</f>
        <v>0</v>
      </c>
      <c r="CJ128" s="2">
        <f>ROUND(SUMIF(AA120:AA126,"=23440596",GX120:GX126),2)</f>
        <v>0</v>
      </c>
      <c r="CK128" s="2">
        <f>ROUND(SUMIF(AA120:AA126,"=23440596",GY120:GY126),2)</f>
        <v>0</v>
      </c>
      <c r="CL128" s="2">
        <f>ROUND(SUMIF(AA120:AA126,"=23440596",GZ120:GZ126),2)</f>
        <v>0</v>
      </c>
      <c r="CM128" s="2">
        <f>ROUND(SUMIF(AA120:AA126,"=23440596",HD120:HD126),2)</f>
        <v>0</v>
      </c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>
        <v>0</v>
      </c>
    </row>
    <row r="130" spans="1:23" x14ac:dyDescent="0.2">
      <c r="A130" s="4">
        <v>50</v>
      </c>
      <c r="B130" s="4">
        <v>0</v>
      </c>
      <c r="C130" s="4">
        <v>0</v>
      </c>
      <c r="D130" s="4">
        <v>1</v>
      </c>
      <c r="E130" s="4">
        <v>201</v>
      </c>
      <c r="F130" s="4">
        <f>ROUND(Source!O128,O130)</f>
        <v>1618017.75</v>
      </c>
      <c r="G130" s="4" t="s">
        <v>87</v>
      </c>
      <c r="H130" s="4" t="s">
        <v>88</v>
      </c>
      <c r="I130" s="4"/>
      <c r="J130" s="4"/>
      <c r="K130" s="4">
        <v>201</v>
      </c>
      <c r="L130" s="4">
        <v>1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3" x14ac:dyDescent="0.2">
      <c r="A131" s="4">
        <v>50</v>
      </c>
      <c r="B131" s="4">
        <v>0</v>
      </c>
      <c r="C131" s="4">
        <v>0</v>
      </c>
      <c r="D131" s="4">
        <v>1</v>
      </c>
      <c r="E131" s="4">
        <v>202</v>
      </c>
      <c r="F131" s="4">
        <f>ROUND(Source!P128,O131)</f>
        <v>1618017.75</v>
      </c>
      <c r="G131" s="4" t="s">
        <v>89</v>
      </c>
      <c r="H131" s="4" t="s">
        <v>90</v>
      </c>
      <c r="I131" s="4"/>
      <c r="J131" s="4"/>
      <c r="K131" s="4">
        <v>202</v>
      </c>
      <c r="L131" s="4">
        <v>2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3" x14ac:dyDescent="0.2">
      <c r="A132" s="4">
        <v>50</v>
      </c>
      <c r="B132" s="4">
        <v>0</v>
      </c>
      <c r="C132" s="4">
        <v>0</v>
      </c>
      <c r="D132" s="4">
        <v>1</v>
      </c>
      <c r="E132" s="4">
        <v>222</v>
      </c>
      <c r="F132" s="4">
        <f>ROUND(Source!AO128,O132)</f>
        <v>0</v>
      </c>
      <c r="G132" s="4" t="s">
        <v>91</v>
      </c>
      <c r="H132" s="4" t="s">
        <v>92</v>
      </c>
      <c r="I132" s="4"/>
      <c r="J132" s="4"/>
      <c r="K132" s="4">
        <v>222</v>
      </c>
      <c r="L132" s="4">
        <v>3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3" x14ac:dyDescent="0.2">
      <c r="A133" s="4">
        <v>50</v>
      </c>
      <c r="B133" s="4">
        <v>0</v>
      </c>
      <c r="C133" s="4">
        <v>0</v>
      </c>
      <c r="D133" s="4">
        <v>1</v>
      </c>
      <c r="E133" s="4">
        <v>225</v>
      </c>
      <c r="F133" s="4">
        <f>ROUND(Source!AV128,O133)</f>
        <v>1618017.75</v>
      </c>
      <c r="G133" s="4" t="s">
        <v>93</v>
      </c>
      <c r="H133" s="4" t="s">
        <v>94</v>
      </c>
      <c r="I133" s="4"/>
      <c r="J133" s="4"/>
      <c r="K133" s="4">
        <v>225</v>
      </c>
      <c r="L133" s="4">
        <v>4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3" x14ac:dyDescent="0.2">
      <c r="A134" s="4">
        <v>50</v>
      </c>
      <c r="B134" s="4">
        <v>0</v>
      </c>
      <c r="C134" s="4">
        <v>0</v>
      </c>
      <c r="D134" s="4">
        <v>1</v>
      </c>
      <c r="E134" s="4">
        <v>226</v>
      </c>
      <c r="F134" s="4">
        <f>ROUND(Source!AW128,O134)</f>
        <v>1618017.75</v>
      </c>
      <c r="G134" s="4" t="s">
        <v>95</v>
      </c>
      <c r="H134" s="4" t="s">
        <v>96</v>
      </c>
      <c r="I134" s="4"/>
      <c r="J134" s="4"/>
      <c r="K134" s="4">
        <v>226</v>
      </c>
      <c r="L134" s="4">
        <v>5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3" x14ac:dyDescent="0.2">
      <c r="A135" s="4">
        <v>50</v>
      </c>
      <c r="B135" s="4">
        <v>0</v>
      </c>
      <c r="C135" s="4">
        <v>0</v>
      </c>
      <c r="D135" s="4">
        <v>1</v>
      </c>
      <c r="E135" s="4">
        <v>227</v>
      </c>
      <c r="F135" s="4">
        <f>ROUND(Source!AX128,O135)</f>
        <v>0</v>
      </c>
      <c r="G135" s="4" t="s">
        <v>97</v>
      </c>
      <c r="H135" s="4" t="s">
        <v>98</v>
      </c>
      <c r="I135" s="4"/>
      <c r="J135" s="4"/>
      <c r="K135" s="4">
        <v>227</v>
      </c>
      <c r="L135" s="4">
        <v>6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3" x14ac:dyDescent="0.2">
      <c r="A136" s="4">
        <v>50</v>
      </c>
      <c r="B136" s="4">
        <v>0</v>
      </c>
      <c r="C136" s="4">
        <v>0</v>
      </c>
      <c r="D136" s="4">
        <v>1</v>
      </c>
      <c r="E136" s="4">
        <v>228</v>
      </c>
      <c r="F136" s="4">
        <f>ROUND(Source!AY128,O136)</f>
        <v>1618017.75</v>
      </c>
      <c r="G136" s="4" t="s">
        <v>99</v>
      </c>
      <c r="H136" s="4" t="s">
        <v>100</v>
      </c>
      <c r="I136" s="4"/>
      <c r="J136" s="4"/>
      <c r="K136" s="4">
        <v>228</v>
      </c>
      <c r="L136" s="4">
        <v>7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3" x14ac:dyDescent="0.2">
      <c r="A137" s="4">
        <v>50</v>
      </c>
      <c r="B137" s="4">
        <v>0</v>
      </c>
      <c r="C137" s="4">
        <v>0</v>
      </c>
      <c r="D137" s="4">
        <v>1</v>
      </c>
      <c r="E137" s="4">
        <v>216</v>
      </c>
      <c r="F137" s="4">
        <f>ROUND(Source!AP128,O137)</f>
        <v>0</v>
      </c>
      <c r="G137" s="4" t="s">
        <v>101</v>
      </c>
      <c r="H137" s="4" t="s">
        <v>102</v>
      </c>
      <c r="I137" s="4"/>
      <c r="J137" s="4"/>
      <c r="K137" s="4">
        <v>216</v>
      </c>
      <c r="L137" s="4">
        <v>8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3" x14ac:dyDescent="0.2">
      <c r="A138" s="4">
        <v>50</v>
      </c>
      <c r="B138" s="4">
        <v>0</v>
      </c>
      <c r="C138" s="4">
        <v>0</v>
      </c>
      <c r="D138" s="4">
        <v>1</v>
      </c>
      <c r="E138" s="4">
        <v>223</v>
      </c>
      <c r="F138" s="4">
        <f>ROUND(Source!AQ128,O138)</f>
        <v>0</v>
      </c>
      <c r="G138" s="4" t="s">
        <v>103</v>
      </c>
      <c r="H138" s="4" t="s">
        <v>104</v>
      </c>
      <c r="I138" s="4"/>
      <c r="J138" s="4"/>
      <c r="K138" s="4">
        <v>223</v>
      </c>
      <c r="L138" s="4">
        <v>9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3" x14ac:dyDescent="0.2">
      <c r="A139" s="4">
        <v>50</v>
      </c>
      <c r="B139" s="4">
        <v>0</v>
      </c>
      <c r="C139" s="4">
        <v>0</v>
      </c>
      <c r="D139" s="4">
        <v>1</v>
      </c>
      <c r="E139" s="4">
        <v>229</v>
      </c>
      <c r="F139" s="4">
        <f>ROUND(Source!AZ128,O139)</f>
        <v>0</v>
      </c>
      <c r="G139" s="4" t="s">
        <v>105</v>
      </c>
      <c r="H139" s="4" t="s">
        <v>106</v>
      </c>
      <c r="I139" s="4"/>
      <c r="J139" s="4"/>
      <c r="K139" s="4">
        <v>229</v>
      </c>
      <c r="L139" s="4">
        <v>10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3" x14ac:dyDescent="0.2">
      <c r="A140" s="4">
        <v>50</v>
      </c>
      <c r="B140" s="4">
        <v>0</v>
      </c>
      <c r="C140" s="4">
        <v>0</v>
      </c>
      <c r="D140" s="4">
        <v>1</v>
      </c>
      <c r="E140" s="4">
        <v>203</v>
      </c>
      <c r="F140" s="4">
        <f>ROUND(Source!Q128,O140)</f>
        <v>0</v>
      </c>
      <c r="G140" s="4" t="s">
        <v>107</v>
      </c>
      <c r="H140" s="4" t="s">
        <v>108</v>
      </c>
      <c r="I140" s="4"/>
      <c r="J140" s="4"/>
      <c r="K140" s="4">
        <v>203</v>
      </c>
      <c r="L140" s="4">
        <v>11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3" x14ac:dyDescent="0.2">
      <c r="A141" s="4">
        <v>50</v>
      </c>
      <c r="B141" s="4">
        <v>0</v>
      </c>
      <c r="C141" s="4">
        <v>0</v>
      </c>
      <c r="D141" s="4">
        <v>1</v>
      </c>
      <c r="E141" s="4">
        <v>231</v>
      </c>
      <c r="F141" s="4">
        <f>ROUND(Source!BB128,O141)</f>
        <v>0</v>
      </c>
      <c r="G141" s="4" t="s">
        <v>109</v>
      </c>
      <c r="H141" s="4" t="s">
        <v>110</v>
      </c>
      <c r="I141" s="4"/>
      <c r="J141" s="4"/>
      <c r="K141" s="4">
        <v>231</v>
      </c>
      <c r="L141" s="4">
        <v>12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3" x14ac:dyDescent="0.2">
      <c r="A142" s="4">
        <v>50</v>
      </c>
      <c r="B142" s="4">
        <v>0</v>
      </c>
      <c r="C142" s="4">
        <v>0</v>
      </c>
      <c r="D142" s="4">
        <v>1</v>
      </c>
      <c r="E142" s="4">
        <v>204</v>
      </c>
      <c r="F142" s="4">
        <f>ROUND(Source!R128,O142)</f>
        <v>0</v>
      </c>
      <c r="G142" s="4" t="s">
        <v>111</v>
      </c>
      <c r="H142" s="4" t="s">
        <v>112</v>
      </c>
      <c r="I142" s="4"/>
      <c r="J142" s="4"/>
      <c r="K142" s="4">
        <v>204</v>
      </c>
      <c r="L142" s="4">
        <v>13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3" x14ac:dyDescent="0.2">
      <c r="A143" s="4">
        <v>50</v>
      </c>
      <c r="B143" s="4">
        <v>0</v>
      </c>
      <c r="C143" s="4">
        <v>0</v>
      </c>
      <c r="D143" s="4">
        <v>1</v>
      </c>
      <c r="E143" s="4">
        <v>205</v>
      </c>
      <c r="F143" s="4">
        <f>ROUND(Source!S128,O143)</f>
        <v>0</v>
      </c>
      <c r="G143" s="4" t="s">
        <v>113</v>
      </c>
      <c r="H143" s="4" t="s">
        <v>114</v>
      </c>
      <c r="I143" s="4"/>
      <c r="J143" s="4"/>
      <c r="K143" s="4">
        <v>205</v>
      </c>
      <c r="L143" s="4">
        <v>14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3" x14ac:dyDescent="0.2">
      <c r="A144" s="4">
        <v>50</v>
      </c>
      <c r="B144" s="4">
        <v>0</v>
      </c>
      <c r="C144" s="4">
        <v>0</v>
      </c>
      <c r="D144" s="4">
        <v>1</v>
      </c>
      <c r="E144" s="4">
        <v>232</v>
      </c>
      <c r="F144" s="4">
        <f>ROUND(Source!BC128,O144)</f>
        <v>0</v>
      </c>
      <c r="G144" s="4" t="s">
        <v>115</v>
      </c>
      <c r="H144" s="4" t="s">
        <v>116</v>
      </c>
      <c r="I144" s="4"/>
      <c r="J144" s="4"/>
      <c r="K144" s="4">
        <v>232</v>
      </c>
      <c r="L144" s="4">
        <v>15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5" spans="1:206" x14ac:dyDescent="0.2">
      <c r="A145" s="4">
        <v>50</v>
      </c>
      <c r="B145" s="4">
        <v>0</v>
      </c>
      <c r="C145" s="4">
        <v>0</v>
      </c>
      <c r="D145" s="4">
        <v>1</v>
      </c>
      <c r="E145" s="4">
        <v>214</v>
      </c>
      <c r="F145" s="4">
        <f>ROUND(Source!AS128,O145)</f>
        <v>0</v>
      </c>
      <c r="G145" s="4" t="s">
        <v>117</v>
      </c>
      <c r="H145" s="4" t="s">
        <v>118</v>
      </c>
      <c r="I145" s="4"/>
      <c r="J145" s="4"/>
      <c r="K145" s="4">
        <v>214</v>
      </c>
      <c r="L145" s="4">
        <v>16</v>
      </c>
      <c r="M145" s="4">
        <v>3</v>
      </c>
      <c r="N145" s="4" t="s">
        <v>3</v>
      </c>
      <c r="O145" s="4">
        <v>2</v>
      </c>
      <c r="P145" s="4"/>
      <c r="Q145" s="4"/>
      <c r="R145" s="4"/>
      <c r="S145" s="4"/>
      <c r="T145" s="4"/>
      <c r="U145" s="4"/>
      <c r="V145" s="4"/>
      <c r="W145" s="4"/>
    </row>
    <row r="146" spans="1:206" x14ac:dyDescent="0.2">
      <c r="A146" s="4">
        <v>50</v>
      </c>
      <c r="B146" s="4">
        <v>0</v>
      </c>
      <c r="C146" s="4">
        <v>0</v>
      </c>
      <c r="D146" s="4">
        <v>1</v>
      </c>
      <c r="E146" s="4">
        <v>215</v>
      </c>
      <c r="F146" s="4">
        <f>ROUND(Source!AT128,O146)</f>
        <v>54607.89</v>
      </c>
      <c r="G146" s="4" t="s">
        <v>119</v>
      </c>
      <c r="H146" s="4" t="s">
        <v>120</v>
      </c>
      <c r="I146" s="4"/>
      <c r="J146" s="4"/>
      <c r="K146" s="4">
        <v>215</v>
      </c>
      <c r="L146" s="4">
        <v>17</v>
      </c>
      <c r="M146" s="4">
        <v>3</v>
      </c>
      <c r="N146" s="4" t="s">
        <v>3</v>
      </c>
      <c r="O146" s="4">
        <v>2</v>
      </c>
      <c r="P146" s="4"/>
      <c r="Q146" s="4"/>
      <c r="R146" s="4"/>
      <c r="S146" s="4"/>
      <c r="T146" s="4"/>
      <c r="U146" s="4"/>
      <c r="V146" s="4"/>
      <c r="W146" s="4"/>
    </row>
    <row r="147" spans="1:206" x14ac:dyDescent="0.2">
      <c r="A147" s="4">
        <v>50</v>
      </c>
      <c r="B147" s="4">
        <v>0</v>
      </c>
      <c r="C147" s="4">
        <v>0</v>
      </c>
      <c r="D147" s="4">
        <v>1</v>
      </c>
      <c r="E147" s="4">
        <v>217</v>
      </c>
      <c r="F147" s="4">
        <f>ROUND(Source!AU128,O147)</f>
        <v>1563409.86</v>
      </c>
      <c r="G147" s="4" t="s">
        <v>121</v>
      </c>
      <c r="H147" s="4" t="s">
        <v>122</v>
      </c>
      <c r="I147" s="4"/>
      <c r="J147" s="4"/>
      <c r="K147" s="4">
        <v>217</v>
      </c>
      <c r="L147" s="4">
        <v>18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/>
    </row>
    <row r="148" spans="1:206" x14ac:dyDescent="0.2">
      <c r="A148" s="4">
        <v>50</v>
      </c>
      <c r="B148" s="4">
        <v>0</v>
      </c>
      <c r="C148" s="4">
        <v>0</v>
      </c>
      <c r="D148" s="4">
        <v>1</v>
      </c>
      <c r="E148" s="4">
        <v>230</v>
      </c>
      <c r="F148" s="4">
        <f>ROUND(Source!BA128,O148)</f>
        <v>0</v>
      </c>
      <c r="G148" s="4" t="s">
        <v>123</v>
      </c>
      <c r="H148" s="4" t="s">
        <v>124</v>
      </c>
      <c r="I148" s="4"/>
      <c r="J148" s="4"/>
      <c r="K148" s="4">
        <v>230</v>
      </c>
      <c r="L148" s="4">
        <v>19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06" x14ac:dyDescent="0.2">
      <c r="A149" s="4">
        <v>50</v>
      </c>
      <c r="B149" s="4">
        <v>0</v>
      </c>
      <c r="C149" s="4">
        <v>0</v>
      </c>
      <c r="D149" s="4">
        <v>1</v>
      </c>
      <c r="E149" s="4">
        <v>206</v>
      </c>
      <c r="F149" s="4">
        <f>ROUND(Source!T128,O149)</f>
        <v>0</v>
      </c>
      <c r="G149" s="4" t="s">
        <v>125</v>
      </c>
      <c r="H149" s="4" t="s">
        <v>126</v>
      </c>
      <c r="I149" s="4"/>
      <c r="J149" s="4"/>
      <c r="K149" s="4">
        <v>206</v>
      </c>
      <c r="L149" s="4">
        <v>20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06" x14ac:dyDescent="0.2">
      <c r="A150" s="4">
        <v>50</v>
      </c>
      <c r="B150" s="4">
        <v>0</v>
      </c>
      <c r="C150" s="4">
        <v>0</v>
      </c>
      <c r="D150" s="4">
        <v>1</v>
      </c>
      <c r="E150" s="4">
        <v>207</v>
      </c>
      <c r="F150" s="4">
        <f>Source!U128</f>
        <v>0</v>
      </c>
      <c r="G150" s="4" t="s">
        <v>127</v>
      </c>
      <c r="H150" s="4" t="s">
        <v>128</v>
      </c>
      <c r="I150" s="4"/>
      <c r="J150" s="4"/>
      <c r="K150" s="4">
        <v>207</v>
      </c>
      <c r="L150" s="4">
        <v>21</v>
      </c>
      <c r="M150" s="4">
        <v>3</v>
      </c>
      <c r="N150" s="4" t="s">
        <v>3</v>
      </c>
      <c r="O150" s="4">
        <v>-1</v>
      </c>
      <c r="P150" s="4"/>
      <c r="Q150" s="4"/>
      <c r="R150" s="4"/>
      <c r="S150" s="4"/>
      <c r="T150" s="4"/>
      <c r="U150" s="4"/>
      <c r="V150" s="4"/>
      <c r="W150" s="4"/>
    </row>
    <row r="151" spans="1:206" x14ac:dyDescent="0.2">
      <c r="A151" s="4">
        <v>50</v>
      </c>
      <c r="B151" s="4">
        <v>0</v>
      </c>
      <c r="C151" s="4">
        <v>0</v>
      </c>
      <c r="D151" s="4">
        <v>1</v>
      </c>
      <c r="E151" s="4">
        <v>208</v>
      </c>
      <c r="F151" s="4">
        <f>Source!V128</f>
        <v>0</v>
      </c>
      <c r="G151" s="4" t="s">
        <v>129</v>
      </c>
      <c r="H151" s="4" t="s">
        <v>130</v>
      </c>
      <c r="I151" s="4"/>
      <c r="J151" s="4"/>
      <c r="K151" s="4">
        <v>208</v>
      </c>
      <c r="L151" s="4">
        <v>22</v>
      </c>
      <c r="M151" s="4">
        <v>3</v>
      </c>
      <c r="N151" s="4" t="s">
        <v>3</v>
      </c>
      <c r="O151" s="4">
        <v>-1</v>
      </c>
      <c r="P151" s="4"/>
      <c r="Q151" s="4"/>
      <c r="R151" s="4"/>
      <c r="S151" s="4"/>
      <c r="T151" s="4"/>
      <c r="U151" s="4"/>
      <c r="V151" s="4"/>
      <c r="W151" s="4"/>
    </row>
    <row r="152" spans="1:206" x14ac:dyDescent="0.2">
      <c r="A152" s="4">
        <v>50</v>
      </c>
      <c r="B152" s="4">
        <v>0</v>
      </c>
      <c r="C152" s="4">
        <v>0</v>
      </c>
      <c r="D152" s="4">
        <v>1</v>
      </c>
      <c r="E152" s="4">
        <v>209</v>
      </c>
      <c r="F152" s="4">
        <f>ROUND(Source!W128,O152)</f>
        <v>0</v>
      </c>
      <c r="G152" s="4" t="s">
        <v>131</v>
      </c>
      <c r="H152" s="4" t="s">
        <v>132</v>
      </c>
      <c r="I152" s="4"/>
      <c r="J152" s="4"/>
      <c r="K152" s="4">
        <v>209</v>
      </c>
      <c r="L152" s="4">
        <v>23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/>
    </row>
    <row r="153" spans="1:206" x14ac:dyDescent="0.2">
      <c r="A153" s="4">
        <v>50</v>
      </c>
      <c r="B153" s="4">
        <v>0</v>
      </c>
      <c r="C153" s="4">
        <v>0</v>
      </c>
      <c r="D153" s="4">
        <v>1</v>
      </c>
      <c r="E153" s="4">
        <v>233</v>
      </c>
      <c r="F153" s="4">
        <f>ROUND(Source!BD128,O153)</f>
        <v>0</v>
      </c>
      <c r="G153" s="4" t="s">
        <v>133</v>
      </c>
      <c r="H153" s="4" t="s">
        <v>134</v>
      </c>
      <c r="I153" s="4"/>
      <c r="J153" s="4"/>
      <c r="K153" s="4">
        <v>233</v>
      </c>
      <c r="L153" s="4">
        <v>24</v>
      </c>
      <c r="M153" s="4">
        <v>3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/>
    </row>
    <row r="154" spans="1:206" x14ac:dyDescent="0.2">
      <c r="A154" s="4">
        <v>50</v>
      </c>
      <c r="B154" s="4">
        <v>0</v>
      </c>
      <c r="C154" s="4">
        <v>0</v>
      </c>
      <c r="D154" s="4">
        <v>1</v>
      </c>
      <c r="E154" s="4">
        <v>210</v>
      </c>
      <c r="F154" s="4">
        <f>ROUND(Source!X128,O154)</f>
        <v>0</v>
      </c>
      <c r="G154" s="4" t="s">
        <v>135</v>
      </c>
      <c r="H154" s="4" t="s">
        <v>136</v>
      </c>
      <c r="I154" s="4"/>
      <c r="J154" s="4"/>
      <c r="K154" s="4">
        <v>210</v>
      </c>
      <c r="L154" s="4">
        <v>25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/>
    </row>
    <row r="155" spans="1:206" x14ac:dyDescent="0.2">
      <c r="A155" s="4">
        <v>50</v>
      </c>
      <c r="B155" s="4">
        <v>0</v>
      </c>
      <c r="C155" s="4">
        <v>0</v>
      </c>
      <c r="D155" s="4">
        <v>1</v>
      </c>
      <c r="E155" s="4">
        <v>211</v>
      </c>
      <c r="F155" s="4">
        <f>ROUND(Source!Y128,O155)</f>
        <v>0</v>
      </c>
      <c r="G155" s="4" t="s">
        <v>137</v>
      </c>
      <c r="H155" s="4" t="s">
        <v>138</v>
      </c>
      <c r="I155" s="4"/>
      <c r="J155" s="4"/>
      <c r="K155" s="4">
        <v>211</v>
      </c>
      <c r="L155" s="4">
        <v>26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/>
    </row>
    <row r="156" spans="1:206" x14ac:dyDescent="0.2">
      <c r="A156" s="4">
        <v>50</v>
      </c>
      <c r="B156" s="4">
        <v>0</v>
      </c>
      <c r="C156" s="4">
        <v>0</v>
      </c>
      <c r="D156" s="4">
        <v>1</v>
      </c>
      <c r="E156" s="4">
        <v>224</v>
      </c>
      <c r="F156" s="4">
        <f>ROUND(Source!AR128,O156)</f>
        <v>1618017.75</v>
      </c>
      <c r="G156" s="4" t="s">
        <v>139</v>
      </c>
      <c r="H156" s="4" t="s">
        <v>140</v>
      </c>
      <c r="I156" s="4"/>
      <c r="J156" s="4"/>
      <c r="K156" s="4">
        <v>224</v>
      </c>
      <c r="L156" s="4">
        <v>27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/>
    </row>
    <row r="158" spans="1:206" x14ac:dyDescent="0.2">
      <c r="A158" s="2">
        <v>51</v>
      </c>
      <c r="B158" s="2">
        <f>B20</f>
        <v>1</v>
      </c>
      <c r="C158" s="2">
        <f>A20</f>
        <v>3</v>
      </c>
      <c r="D158" s="2">
        <f>ROW(A20)</f>
        <v>20</v>
      </c>
      <c r="E158" s="2"/>
      <c r="F158" s="2" t="str">
        <f>IF(F20&lt;&gt;"",F20,"")</f>
        <v>Новая локальная смета</v>
      </c>
      <c r="G158" s="2" t="str">
        <f>IF(G20&lt;&gt;"",G20,"")</f>
        <v>ТП-521. Реконструкция. Замена 8 панелей в РУ-0,4 кВ.</v>
      </c>
      <c r="H158" s="2">
        <v>0</v>
      </c>
      <c r="I158" s="2"/>
      <c r="J158" s="2"/>
      <c r="K158" s="2"/>
      <c r="L158" s="2"/>
      <c r="M158" s="2"/>
      <c r="N158" s="2"/>
      <c r="O158" s="2">
        <f t="shared" ref="O158:T158" si="151">ROUND(O41+O86+O128+AB158,2)</f>
        <v>1870359.59</v>
      </c>
      <c r="P158" s="2">
        <f t="shared" si="151"/>
        <v>1636224.9</v>
      </c>
      <c r="Q158" s="2">
        <f t="shared" si="151"/>
        <v>24131.22</v>
      </c>
      <c r="R158" s="2">
        <f t="shared" si="151"/>
        <v>12478.27</v>
      </c>
      <c r="S158" s="2">
        <f t="shared" si="151"/>
        <v>210003.47</v>
      </c>
      <c r="T158" s="2">
        <f t="shared" si="151"/>
        <v>0</v>
      </c>
      <c r="U158" s="2">
        <f>U41+U86+U128+AH158</f>
        <v>583.1215643999999</v>
      </c>
      <c r="V158" s="2">
        <f>V41+V86+V128+AI158</f>
        <v>0</v>
      </c>
      <c r="W158" s="2">
        <f>ROUND(W41+W86+W128+AJ158,2)</f>
        <v>0</v>
      </c>
      <c r="X158" s="2">
        <f>ROUND(X41+X86+X128+AK158,2)</f>
        <v>149479.47</v>
      </c>
      <c r="Y158" s="2">
        <f>ROUND(Y41+Y86+Y128+AL158,2)</f>
        <v>86101.440000000002</v>
      </c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>
        <f t="shared" ref="AO158:BD158" si="152">ROUND(AO41+AO86+AO128+BX158,2)</f>
        <v>0</v>
      </c>
      <c r="AP158" s="2">
        <f t="shared" si="152"/>
        <v>0</v>
      </c>
      <c r="AQ158" s="2">
        <f t="shared" si="152"/>
        <v>0</v>
      </c>
      <c r="AR158" s="2">
        <f t="shared" si="152"/>
        <v>2125531.38</v>
      </c>
      <c r="AS158" s="2">
        <f t="shared" si="152"/>
        <v>0</v>
      </c>
      <c r="AT158" s="2">
        <f t="shared" si="152"/>
        <v>278271.93</v>
      </c>
      <c r="AU158" s="2">
        <f t="shared" si="152"/>
        <v>1847259.45</v>
      </c>
      <c r="AV158" s="2">
        <f t="shared" si="152"/>
        <v>1636224.9</v>
      </c>
      <c r="AW158" s="2">
        <f t="shared" si="152"/>
        <v>1636224.9</v>
      </c>
      <c r="AX158" s="2">
        <f t="shared" si="152"/>
        <v>0</v>
      </c>
      <c r="AY158" s="2">
        <f t="shared" si="152"/>
        <v>1636224.9</v>
      </c>
      <c r="AZ158" s="2">
        <f t="shared" si="152"/>
        <v>0</v>
      </c>
      <c r="BA158" s="2">
        <f t="shared" si="152"/>
        <v>0</v>
      </c>
      <c r="BB158" s="2">
        <f t="shared" si="152"/>
        <v>0</v>
      </c>
      <c r="BC158" s="2">
        <f t="shared" si="152"/>
        <v>0</v>
      </c>
      <c r="BD158" s="2">
        <f t="shared" si="152"/>
        <v>0</v>
      </c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>
        <v>0</v>
      </c>
    </row>
    <row r="160" spans="1:206" x14ac:dyDescent="0.2">
      <c r="A160" s="4">
        <v>50</v>
      </c>
      <c r="B160" s="4">
        <v>0</v>
      </c>
      <c r="C160" s="4">
        <v>0</v>
      </c>
      <c r="D160" s="4">
        <v>1</v>
      </c>
      <c r="E160" s="4">
        <v>201</v>
      </c>
      <c r="F160" s="4">
        <f>ROUND(Source!O158,O160)</f>
        <v>1870359.59</v>
      </c>
      <c r="G160" s="4" t="s">
        <v>87</v>
      </c>
      <c r="H160" s="4" t="s">
        <v>88</v>
      </c>
      <c r="I160" s="4"/>
      <c r="J160" s="4"/>
      <c r="K160" s="4">
        <v>201</v>
      </c>
      <c r="L160" s="4">
        <v>1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3" x14ac:dyDescent="0.2">
      <c r="A161" s="4">
        <v>50</v>
      </c>
      <c r="B161" s="4">
        <v>0</v>
      </c>
      <c r="C161" s="4">
        <v>0</v>
      </c>
      <c r="D161" s="4">
        <v>1</v>
      </c>
      <c r="E161" s="4">
        <v>202</v>
      </c>
      <c r="F161" s="4">
        <f>ROUND(Source!P158,O161)</f>
        <v>1636224.9</v>
      </c>
      <c r="G161" s="4" t="s">
        <v>89</v>
      </c>
      <c r="H161" s="4" t="s">
        <v>90</v>
      </c>
      <c r="I161" s="4"/>
      <c r="J161" s="4"/>
      <c r="K161" s="4">
        <v>202</v>
      </c>
      <c r="L161" s="4">
        <v>2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3" x14ac:dyDescent="0.2">
      <c r="A162" s="4">
        <v>50</v>
      </c>
      <c r="B162" s="4">
        <v>0</v>
      </c>
      <c r="C162" s="4">
        <v>0</v>
      </c>
      <c r="D162" s="4">
        <v>1</v>
      </c>
      <c r="E162" s="4">
        <v>222</v>
      </c>
      <c r="F162" s="4">
        <f>ROUND(Source!AO158,O162)</f>
        <v>0</v>
      </c>
      <c r="G162" s="4" t="s">
        <v>91</v>
      </c>
      <c r="H162" s="4" t="s">
        <v>92</v>
      </c>
      <c r="I162" s="4"/>
      <c r="J162" s="4"/>
      <c r="K162" s="4">
        <v>222</v>
      </c>
      <c r="L162" s="4">
        <v>3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3" x14ac:dyDescent="0.2">
      <c r="A163" s="4">
        <v>50</v>
      </c>
      <c r="B163" s="4">
        <v>0</v>
      </c>
      <c r="C163" s="4">
        <v>0</v>
      </c>
      <c r="D163" s="4">
        <v>1</v>
      </c>
      <c r="E163" s="4">
        <v>225</v>
      </c>
      <c r="F163" s="4">
        <f>ROUND(Source!AV158,O163)</f>
        <v>1636224.9</v>
      </c>
      <c r="G163" s="4" t="s">
        <v>93</v>
      </c>
      <c r="H163" s="4" t="s">
        <v>94</v>
      </c>
      <c r="I163" s="4"/>
      <c r="J163" s="4"/>
      <c r="K163" s="4">
        <v>225</v>
      </c>
      <c r="L163" s="4">
        <v>4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3" x14ac:dyDescent="0.2">
      <c r="A164" s="4">
        <v>50</v>
      </c>
      <c r="B164" s="4">
        <v>0</v>
      </c>
      <c r="C164" s="4">
        <v>0</v>
      </c>
      <c r="D164" s="4">
        <v>1</v>
      </c>
      <c r="E164" s="4">
        <v>226</v>
      </c>
      <c r="F164" s="4">
        <f>ROUND(Source!AW158,O164)</f>
        <v>1636224.9</v>
      </c>
      <c r="G164" s="4" t="s">
        <v>95</v>
      </c>
      <c r="H164" s="4" t="s">
        <v>96</v>
      </c>
      <c r="I164" s="4"/>
      <c r="J164" s="4"/>
      <c r="K164" s="4">
        <v>226</v>
      </c>
      <c r="L164" s="4">
        <v>5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3" x14ac:dyDescent="0.2">
      <c r="A165" s="4">
        <v>50</v>
      </c>
      <c r="B165" s="4">
        <v>0</v>
      </c>
      <c r="C165" s="4">
        <v>0</v>
      </c>
      <c r="D165" s="4">
        <v>1</v>
      </c>
      <c r="E165" s="4">
        <v>227</v>
      </c>
      <c r="F165" s="4">
        <f>ROUND(Source!AX158,O165)</f>
        <v>0</v>
      </c>
      <c r="G165" s="4" t="s">
        <v>97</v>
      </c>
      <c r="H165" s="4" t="s">
        <v>98</v>
      </c>
      <c r="I165" s="4"/>
      <c r="J165" s="4"/>
      <c r="K165" s="4">
        <v>227</v>
      </c>
      <c r="L165" s="4">
        <v>6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3" x14ac:dyDescent="0.2">
      <c r="A166" s="4">
        <v>50</v>
      </c>
      <c r="B166" s="4">
        <v>0</v>
      </c>
      <c r="C166" s="4">
        <v>0</v>
      </c>
      <c r="D166" s="4">
        <v>1</v>
      </c>
      <c r="E166" s="4">
        <v>228</v>
      </c>
      <c r="F166" s="4">
        <f>ROUND(Source!AY158,O166)</f>
        <v>1636224.9</v>
      </c>
      <c r="G166" s="4" t="s">
        <v>99</v>
      </c>
      <c r="H166" s="4" t="s">
        <v>100</v>
      </c>
      <c r="I166" s="4"/>
      <c r="J166" s="4"/>
      <c r="K166" s="4">
        <v>228</v>
      </c>
      <c r="L166" s="4">
        <v>7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3" x14ac:dyDescent="0.2">
      <c r="A167" s="4">
        <v>50</v>
      </c>
      <c r="B167" s="4">
        <v>0</v>
      </c>
      <c r="C167" s="4">
        <v>0</v>
      </c>
      <c r="D167" s="4">
        <v>1</v>
      </c>
      <c r="E167" s="4">
        <v>216</v>
      </c>
      <c r="F167" s="4">
        <f>ROUND(Source!AP158,O167)</f>
        <v>0</v>
      </c>
      <c r="G167" s="4" t="s">
        <v>101</v>
      </c>
      <c r="H167" s="4" t="s">
        <v>102</v>
      </c>
      <c r="I167" s="4"/>
      <c r="J167" s="4"/>
      <c r="K167" s="4">
        <v>216</v>
      </c>
      <c r="L167" s="4">
        <v>8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3" x14ac:dyDescent="0.2">
      <c r="A168" s="4">
        <v>50</v>
      </c>
      <c r="B168" s="4">
        <v>0</v>
      </c>
      <c r="C168" s="4">
        <v>0</v>
      </c>
      <c r="D168" s="4">
        <v>1</v>
      </c>
      <c r="E168" s="4">
        <v>223</v>
      </c>
      <c r="F168" s="4">
        <f>ROUND(Source!AQ158,O168)</f>
        <v>0</v>
      </c>
      <c r="G168" s="4" t="s">
        <v>103</v>
      </c>
      <c r="H168" s="4" t="s">
        <v>104</v>
      </c>
      <c r="I168" s="4"/>
      <c r="J168" s="4"/>
      <c r="K168" s="4">
        <v>223</v>
      </c>
      <c r="L168" s="4">
        <v>9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3" x14ac:dyDescent="0.2">
      <c r="A169" s="4">
        <v>50</v>
      </c>
      <c r="B169" s="4">
        <v>0</v>
      </c>
      <c r="C169" s="4">
        <v>0</v>
      </c>
      <c r="D169" s="4">
        <v>1</v>
      </c>
      <c r="E169" s="4">
        <v>229</v>
      </c>
      <c r="F169" s="4">
        <f>ROUND(Source!AZ158,O169)</f>
        <v>0</v>
      </c>
      <c r="G169" s="4" t="s">
        <v>105</v>
      </c>
      <c r="H169" s="4" t="s">
        <v>106</v>
      </c>
      <c r="I169" s="4"/>
      <c r="J169" s="4"/>
      <c r="K169" s="4">
        <v>229</v>
      </c>
      <c r="L169" s="4">
        <v>10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3" x14ac:dyDescent="0.2">
      <c r="A170" s="4">
        <v>50</v>
      </c>
      <c r="B170" s="4">
        <v>0</v>
      </c>
      <c r="C170" s="4">
        <v>0</v>
      </c>
      <c r="D170" s="4">
        <v>1</v>
      </c>
      <c r="E170" s="4">
        <v>203</v>
      </c>
      <c r="F170" s="4">
        <f>ROUND(Source!Q158,O170)</f>
        <v>24131.22</v>
      </c>
      <c r="G170" s="4" t="s">
        <v>107</v>
      </c>
      <c r="H170" s="4" t="s">
        <v>108</v>
      </c>
      <c r="I170" s="4"/>
      <c r="J170" s="4"/>
      <c r="K170" s="4">
        <v>203</v>
      </c>
      <c r="L170" s="4">
        <v>11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3" x14ac:dyDescent="0.2">
      <c r="A171" s="4">
        <v>50</v>
      </c>
      <c r="B171" s="4">
        <v>0</v>
      </c>
      <c r="C171" s="4">
        <v>0</v>
      </c>
      <c r="D171" s="4">
        <v>1</v>
      </c>
      <c r="E171" s="4">
        <v>231</v>
      </c>
      <c r="F171" s="4">
        <f>ROUND(Source!BB158,O171)</f>
        <v>0</v>
      </c>
      <c r="G171" s="4" t="s">
        <v>109</v>
      </c>
      <c r="H171" s="4" t="s">
        <v>110</v>
      </c>
      <c r="I171" s="4"/>
      <c r="J171" s="4"/>
      <c r="K171" s="4">
        <v>231</v>
      </c>
      <c r="L171" s="4">
        <v>12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3" x14ac:dyDescent="0.2">
      <c r="A172" s="4">
        <v>50</v>
      </c>
      <c r="B172" s="4">
        <v>0</v>
      </c>
      <c r="C172" s="4">
        <v>0</v>
      </c>
      <c r="D172" s="4">
        <v>1</v>
      </c>
      <c r="E172" s="4">
        <v>204</v>
      </c>
      <c r="F172" s="4">
        <f>ROUND(Source!R158,O172)</f>
        <v>12478.27</v>
      </c>
      <c r="G172" s="4" t="s">
        <v>111</v>
      </c>
      <c r="H172" s="4" t="s">
        <v>112</v>
      </c>
      <c r="I172" s="4"/>
      <c r="J172" s="4"/>
      <c r="K172" s="4">
        <v>204</v>
      </c>
      <c r="L172" s="4">
        <v>13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3" x14ac:dyDescent="0.2">
      <c r="A173" s="4">
        <v>50</v>
      </c>
      <c r="B173" s="4">
        <v>0</v>
      </c>
      <c r="C173" s="4">
        <v>0</v>
      </c>
      <c r="D173" s="4">
        <v>1</v>
      </c>
      <c r="E173" s="4">
        <v>205</v>
      </c>
      <c r="F173" s="4">
        <f>ROUND(Source!S158,O173)</f>
        <v>210003.47</v>
      </c>
      <c r="G173" s="4" t="s">
        <v>113</v>
      </c>
      <c r="H173" s="4" t="s">
        <v>114</v>
      </c>
      <c r="I173" s="4"/>
      <c r="J173" s="4"/>
      <c r="K173" s="4">
        <v>205</v>
      </c>
      <c r="L173" s="4">
        <v>14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3" x14ac:dyDescent="0.2">
      <c r="A174" s="4">
        <v>50</v>
      </c>
      <c r="B174" s="4">
        <v>0</v>
      </c>
      <c r="C174" s="4">
        <v>0</v>
      </c>
      <c r="D174" s="4">
        <v>1</v>
      </c>
      <c r="E174" s="4">
        <v>232</v>
      </c>
      <c r="F174" s="4">
        <f>ROUND(Source!BC158,O174)</f>
        <v>0</v>
      </c>
      <c r="G174" s="4" t="s">
        <v>115</v>
      </c>
      <c r="H174" s="4" t="s">
        <v>116</v>
      </c>
      <c r="I174" s="4"/>
      <c r="J174" s="4"/>
      <c r="K174" s="4">
        <v>232</v>
      </c>
      <c r="L174" s="4">
        <v>15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3" x14ac:dyDescent="0.2">
      <c r="A175" s="4">
        <v>50</v>
      </c>
      <c r="B175" s="4">
        <v>0</v>
      </c>
      <c r="C175" s="4">
        <v>0</v>
      </c>
      <c r="D175" s="4">
        <v>1</v>
      </c>
      <c r="E175" s="4">
        <v>214</v>
      </c>
      <c r="F175" s="4">
        <f>ROUND(Source!AS158,O175)</f>
        <v>0</v>
      </c>
      <c r="G175" s="4" t="s">
        <v>117</v>
      </c>
      <c r="H175" s="4" t="s">
        <v>118</v>
      </c>
      <c r="I175" s="4"/>
      <c r="J175" s="4"/>
      <c r="K175" s="4">
        <v>214</v>
      </c>
      <c r="L175" s="4">
        <v>16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3" x14ac:dyDescent="0.2">
      <c r="A176" s="4">
        <v>50</v>
      </c>
      <c r="B176" s="4">
        <v>0</v>
      </c>
      <c r="C176" s="4">
        <v>0</v>
      </c>
      <c r="D176" s="4">
        <v>1</v>
      </c>
      <c r="E176" s="4">
        <v>215</v>
      </c>
      <c r="F176" s="4">
        <f>ROUND(Source!AT158,O176)</f>
        <v>278271.93</v>
      </c>
      <c r="G176" s="4" t="s">
        <v>119</v>
      </c>
      <c r="H176" s="4" t="s">
        <v>120</v>
      </c>
      <c r="I176" s="4"/>
      <c r="J176" s="4"/>
      <c r="K176" s="4">
        <v>215</v>
      </c>
      <c r="L176" s="4">
        <v>17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06" x14ac:dyDescent="0.2">
      <c r="A177" s="4">
        <v>50</v>
      </c>
      <c r="B177" s="4">
        <v>0</v>
      </c>
      <c r="C177" s="4">
        <v>0</v>
      </c>
      <c r="D177" s="4">
        <v>1</v>
      </c>
      <c r="E177" s="4">
        <v>217</v>
      </c>
      <c r="F177" s="4">
        <f>ROUND(Source!AU158,O177)</f>
        <v>1847259.45</v>
      </c>
      <c r="G177" s="4" t="s">
        <v>121</v>
      </c>
      <c r="H177" s="4" t="s">
        <v>122</v>
      </c>
      <c r="I177" s="4"/>
      <c r="J177" s="4"/>
      <c r="K177" s="4">
        <v>217</v>
      </c>
      <c r="L177" s="4">
        <v>18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06" x14ac:dyDescent="0.2">
      <c r="A178" s="4">
        <v>50</v>
      </c>
      <c r="B178" s="4">
        <v>0</v>
      </c>
      <c r="C178" s="4">
        <v>0</v>
      </c>
      <c r="D178" s="4">
        <v>1</v>
      </c>
      <c r="E178" s="4">
        <v>230</v>
      </c>
      <c r="F178" s="4">
        <f>ROUND(Source!BA158,O178)</f>
        <v>0</v>
      </c>
      <c r="G178" s="4" t="s">
        <v>123</v>
      </c>
      <c r="H178" s="4" t="s">
        <v>124</v>
      </c>
      <c r="I178" s="4"/>
      <c r="J178" s="4"/>
      <c r="K178" s="4">
        <v>230</v>
      </c>
      <c r="L178" s="4">
        <v>19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06" x14ac:dyDescent="0.2">
      <c r="A179" s="4">
        <v>50</v>
      </c>
      <c r="B179" s="4">
        <v>0</v>
      </c>
      <c r="C179" s="4">
        <v>0</v>
      </c>
      <c r="D179" s="4">
        <v>1</v>
      </c>
      <c r="E179" s="4">
        <v>206</v>
      </c>
      <c r="F179" s="4">
        <f>ROUND(Source!T158,O179)</f>
        <v>0</v>
      </c>
      <c r="G179" s="4" t="s">
        <v>125</v>
      </c>
      <c r="H179" s="4" t="s">
        <v>126</v>
      </c>
      <c r="I179" s="4"/>
      <c r="J179" s="4"/>
      <c r="K179" s="4">
        <v>206</v>
      </c>
      <c r="L179" s="4">
        <v>20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06" x14ac:dyDescent="0.2">
      <c r="A180" s="4">
        <v>50</v>
      </c>
      <c r="B180" s="4">
        <v>0</v>
      </c>
      <c r="C180" s="4">
        <v>0</v>
      </c>
      <c r="D180" s="4">
        <v>1</v>
      </c>
      <c r="E180" s="4">
        <v>207</v>
      </c>
      <c r="F180" s="4">
        <f>Source!U158</f>
        <v>583.1215643999999</v>
      </c>
      <c r="G180" s="4" t="s">
        <v>127</v>
      </c>
      <c r="H180" s="4" t="s">
        <v>128</v>
      </c>
      <c r="I180" s="4"/>
      <c r="J180" s="4"/>
      <c r="K180" s="4">
        <v>207</v>
      </c>
      <c r="L180" s="4">
        <v>21</v>
      </c>
      <c r="M180" s="4">
        <v>3</v>
      </c>
      <c r="N180" s="4" t="s">
        <v>3</v>
      </c>
      <c r="O180" s="4">
        <v>-1</v>
      </c>
      <c r="P180" s="4"/>
      <c r="Q180" s="4"/>
      <c r="R180" s="4"/>
      <c r="S180" s="4"/>
      <c r="T180" s="4"/>
      <c r="U180" s="4"/>
      <c r="V180" s="4"/>
      <c r="W180" s="4"/>
    </row>
    <row r="181" spans="1:206" x14ac:dyDescent="0.2">
      <c r="A181" s="4">
        <v>50</v>
      </c>
      <c r="B181" s="4">
        <v>0</v>
      </c>
      <c r="C181" s="4">
        <v>0</v>
      </c>
      <c r="D181" s="4">
        <v>1</v>
      </c>
      <c r="E181" s="4">
        <v>208</v>
      </c>
      <c r="F181" s="4">
        <f>Source!V158</f>
        <v>0</v>
      </c>
      <c r="G181" s="4" t="s">
        <v>129</v>
      </c>
      <c r="H181" s="4" t="s">
        <v>130</v>
      </c>
      <c r="I181" s="4"/>
      <c r="J181" s="4"/>
      <c r="K181" s="4">
        <v>208</v>
      </c>
      <c r="L181" s="4">
        <v>22</v>
      </c>
      <c r="M181" s="4">
        <v>3</v>
      </c>
      <c r="N181" s="4" t="s">
        <v>3</v>
      </c>
      <c r="O181" s="4">
        <v>-1</v>
      </c>
      <c r="P181" s="4"/>
      <c r="Q181" s="4"/>
      <c r="R181" s="4"/>
      <c r="S181" s="4"/>
      <c r="T181" s="4"/>
      <c r="U181" s="4"/>
      <c r="V181" s="4"/>
      <c r="W181" s="4"/>
    </row>
    <row r="182" spans="1:206" x14ac:dyDescent="0.2">
      <c r="A182" s="4">
        <v>50</v>
      </c>
      <c r="B182" s="4">
        <v>0</v>
      </c>
      <c r="C182" s="4">
        <v>0</v>
      </c>
      <c r="D182" s="4">
        <v>1</v>
      </c>
      <c r="E182" s="4">
        <v>209</v>
      </c>
      <c r="F182" s="4">
        <f>ROUND(Source!W158,O182)</f>
        <v>0</v>
      </c>
      <c r="G182" s="4" t="s">
        <v>131</v>
      </c>
      <c r="H182" s="4" t="s">
        <v>132</v>
      </c>
      <c r="I182" s="4"/>
      <c r="J182" s="4"/>
      <c r="K182" s="4">
        <v>209</v>
      </c>
      <c r="L182" s="4">
        <v>23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/>
    </row>
    <row r="183" spans="1:206" x14ac:dyDescent="0.2">
      <c r="A183" s="4">
        <v>50</v>
      </c>
      <c r="B183" s="4">
        <v>0</v>
      </c>
      <c r="C183" s="4">
        <v>0</v>
      </c>
      <c r="D183" s="4">
        <v>1</v>
      </c>
      <c r="E183" s="4">
        <v>233</v>
      </c>
      <c r="F183" s="4">
        <f>ROUND(Source!BD158,O183)</f>
        <v>0</v>
      </c>
      <c r="G183" s="4" t="s">
        <v>133</v>
      </c>
      <c r="H183" s="4" t="s">
        <v>134</v>
      </c>
      <c r="I183" s="4"/>
      <c r="J183" s="4"/>
      <c r="K183" s="4">
        <v>233</v>
      </c>
      <c r="L183" s="4">
        <v>24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/>
    </row>
    <row r="184" spans="1:206" x14ac:dyDescent="0.2">
      <c r="A184" s="4">
        <v>50</v>
      </c>
      <c r="B184" s="4">
        <v>0</v>
      </c>
      <c r="C184" s="4">
        <v>0</v>
      </c>
      <c r="D184" s="4">
        <v>1</v>
      </c>
      <c r="E184" s="4">
        <v>210</v>
      </c>
      <c r="F184" s="4">
        <f>ROUND(Source!X158,O184)</f>
        <v>149479.47</v>
      </c>
      <c r="G184" s="4" t="s">
        <v>135</v>
      </c>
      <c r="H184" s="4" t="s">
        <v>136</v>
      </c>
      <c r="I184" s="4"/>
      <c r="J184" s="4"/>
      <c r="K184" s="4">
        <v>210</v>
      </c>
      <c r="L184" s="4">
        <v>25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/>
    </row>
    <row r="185" spans="1:206" x14ac:dyDescent="0.2">
      <c r="A185" s="4">
        <v>50</v>
      </c>
      <c r="B185" s="4">
        <v>0</v>
      </c>
      <c r="C185" s="4">
        <v>0</v>
      </c>
      <c r="D185" s="4">
        <v>1</v>
      </c>
      <c r="E185" s="4">
        <v>211</v>
      </c>
      <c r="F185" s="4">
        <f>ROUND(Source!Y158,O185)</f>
        <v>86101.440000000002</v>
      </c>
      <c r="G185" s="4" t="s">
        <v>137</v>
      </c>
      <c r="H185" s="4" t="s">
        <v>138</v>
      </c>
      <c r="I185" s="4"/>
      <c r="J185" s="4"/>
      <c r="K185" s="4">
        <v>211</v>
      </c>
      <c r="L185" s="4">
        <v>26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6" spans="1:206" x14ac:dyDescent="0.2">
      <c r="A186" s="4">
        <v>50</v>
      </c>
      <c r="B186" s="4">
        <v>0</v>
      </c>
      <c r="C186" s="4">
        <v>0</v>
      </c>
      <c r="D186" s="4">
        <v>1</v>
      </c>
      <c r="E186" s="4">
        <v>224</v>
      </c>
      <c r="F186" s="4">
        <f>ROUND(Source!AR158,O186)</f>
        <v>2125531.38</v>
      </c>
      <c r="G186" s="4" t="s">
        <v>139</v>
      </c>
      <c r="H186" s="4" t="s">
        <v>140</v>
      </c>
      <c r="I186" s="4"/>
      <c r="J186" s="4"/>
      <c r="K186" s="4">
        <v>224</v>
      </c>
      <c r="L186" s="4">
        <v>27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/>
    </row>
    <row r="188" spans="1:206" x14ac:dyDescent="0.2">
      <c r="A188" s="2">
        <v>51</v>
      </c>
      <c r="B188" s="2">
        <f>B12</f>
        <v>224</v>
      </c>
      <c r="C188" s="2">
        <f>A12</f>
        <v>1</v>
      </c>
      <c r="D188" s="2">
        <f>ROW(A12)</f>
        <v>12</v>
      </c>
      <c r="E188" s="2"/>
      <c r="F188" s="2" t="str">
        <f>IF(F12&lt;&gt;"",F12,"")</f>
        <v xml:space="preserve">ТП-521. Замена оборудования- РУ-0,4 кВ </v>
      </c>
      <c r="G188" s="2" t="str">
        <f>IF(G12&lt;&gt;"",G12,"")</f>
        <v xml:space="preserve">ТП-521. Замена оборудования- РУ-0,4 кВ </v>
      </c>
      <c r="H188" s="2">
        <v>0</v>
      </c>
      <c r="I188" s="2"/>
      <c r="J188" s="2"/>
      <c r="K188" s="2"/>
      <c r="L188" s="2"/>
      <c r="M188" s="2"/>
      <c r="N188" s="2"/>
      <c r="O188" s="2">
        <f t="shared" ref="O188:T188" si="153">ROUND(O158,2)</f>
        <v>1870359.59</v>
      </c>
      <c r="P188" s="2">
        <f t="shared" si="153"/>
        <v>1636224.9</v>
      </c>
      <c r="Q188" s="2">
        <f t="shared" si="153"/>
        <v>24131.22</v>
      </c>
      <c r="R188" s="2">
        <f t="shared" si="153"/>
        <v>12478.27</v>
      </c>
      <c r="S188" s="2">
        <f t="shared" si="153"/>
        <v>210003.47</v>
      </c>
      <c r="T188" s="2">
        <f t="shared" si="153"/>
        <v>0</v>
      </c>
      <c r="U188" s="2">
        <f>U158</f>
        <v>583.1215643999999</v>
      </c>
      <c r="V188" s="2">
        <f>V158</f>
        <v>0</v>
      </c>
      <c r="W188" s="2">
        <f>ROUND(W158,2)</f>
        <v>0</v>
      </c>
      <c r="X188" s="2">
        <f>ROUND(X158,2)</f>
        <v>149479.47</v>
      </c>
      <c r="Y188" s="2">
        <f>ROUND(Y158,2)</f>
        <v>86101.440000000002</v>
      </c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>
        <f t="shared" ref="AO188:BD188" si="154">ROUND(AO158,2)</f>
        <v>0</v>
      </c>
      <c r="AP188" s="2">
        <f t="shared" si="154"/>
        <v>0</v>
      </c>
      <c r="AQ188" s="2">
        <f t="shared" si="154"/>
        <v>0</v>
      </c>
      <c r="AR188" s="2">
        <f t="shared" si="154"/>
        <v>2125531.38</v>
      </c>
      <c r="AS188" s="2">
        <f t="shared" si="154"/>
        <v>0</v>
      </c>
      <c r="AT188" s="2">
        <f t="shared" si="154"/>
        <v>278271.93</v>
      </c>
      <c r="AU188" s="2">
        <f t="shared" si="154"/>
        <v>1847259.45</v>
      </c>
      <c r="AV188" s="2">
        <f t="shared" si="154"/>
        <v>1636224.9</v>
      </c>
      <c r="AW188" s="2">
        <f t="shared" si="154"/>
        <v>1636224.9</v>
      </c>
      <c r="AX188" s="2">
        <f t="shared" si="154"/>
        <v>0</v>
      </c>
      <c r="AY188" s="2">
        <f t="shared" si="154"/>
        <v>1636224.9</v>
      </c>
      <c r="AZ188" s="2">
        <f t="shared" si="154"/>
        <v>0</v>
      </c>
      <c r="BA188" s="2">
        <f t="shared" si="154"/>
        <v>0</v>
      </c>
      <c r="BB188" s="2">
        <f t="shared" si="154"/>
        <v>0</v>
      </c>
      <c r="BC188" s="2">
        <f t="shared" si="154"/>
        <v>0</v>
      </c>
      <c r="BD188" s="2">
        <f t="shared" si="154"/>
        <v>0</v>
      </c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>
        <v>0</v>
      </c>
    </row>
    <row r="190" spans="1:206" x14ac:dyDescent="0.2">
      <c r="A190" s="4">
        <v>50</v>
      </c>
      <c r="B190" s="4">
        <v>0</v>
      </c>
      <c r="C190" s="4">
        <v>0</v>
      </c>
      <c r="D190" s="4">
        <v>1</v>
      </c>
      <c r="E190" s="4">
        <v>201</v>
      </c>
      <c r="F190" s="4">
        <f>ROUND(Source!O188,O190)</f>
        <v>1870359.59</v>
      </c>
      <c r="G190" s="4" t="s">
        <v>87</v>
      </c>
      <c r="H190" s="4" t="s">
        <v>88</v>
      </c>
      <c r="I190" s="4"/>
      <c r="J190" s="4"/>
      <c r="K190" s="4">
        <v>201</v>
      </c>
      <c r="L190" s="4">
        <v>1</v>
      </c>
      <c r="M190" s="4">
        <v>3</v>
      </c>
      <c r="N190" s="4" t="s">
        <v>3</v>
      </c>
      <c r="O190" s="4">
        <v>2</v>
      </c>
      <c r="P190" s="4"/>
      <c r="Q190" s="4"/>
      <c r="R190" s="4"/>
      <c r="S190" s="4"/>
      <c r="T190" s="4"/>
      <c r="U190" s="4"/>
      <c r="V190" s="4"/>
      <c r="W190" s="4"/>
    </row>
    <row r="191" spans="1:206" x14ac:dyDescent="0.2">
      <c r="A191" s="4">
        <v>50</v>
      </c>
      <c r="B191" s="4">
        <v>0</v>
      </c>
      <c r="C191" s="4">
        <v>0</v>
      </c>
      <c r="D191" s="4">
        <v>1</v>
      </c>
      <c r="E191" s="4">
        <v>202</v>
      </c>
      <c r="F191" s="4">
        <f>ROUND(Source!P188,O191)</f>
        <v>1636224.9</v>
      </c>
      <c r="G191" s="4" t="s">
        <v>89</v>
      </c>
      <c r="H191" s="4" t="s">
        <v>90</v>
      </c>
      <c r="I191" s="4"/>
      <c r="J191" s="4"/>
      <c r="K191" s="4">
        <v>202</v>
      </c>
      <c r="L191" s="4">
        <v>2</v>
      </c>
      <c r="M191" s="4">
        <v>3</v>
      </c>
      <c r="N191" s="4" t="s">
        <v>3</v>
      </c>
      <c r="O191" s="4">
        <v>2</v>
      </c>
      <c r="P191" s="4"/>
      <c r="Q191" s="4"/>
      <c r="R191" s="4"/>
      <c r="S191" s="4"/>
      <c r="T191" s="4"/>
      <c r="U191" s="4"/>
      <c r="V191" s="4"/>
      <c r="W191" s="4"/>
    </row>
    <row r="192" spans="1:206" x14ac:dyDescent="0.2">
      <c r="A192" s="4">
        <v>50</v>
      </c>
      <c r="B192" s="4">
        <v>0</v>
      </c>
      <c r="C192" s="4">
        <v>0</v>
      </c>
      <c r="D192" s="4">
        <v>1</v>
      </c>
      <c r="E192" s="4">
        <v>222</v>
      </c>
      <c r="F192" s="4">
        <f>ROUND(Source!AO188,O192)</f>
        <v>0</v>
      </c>
      <c r="G192" s="4" t="s">
        <v>91</v>
      </c>
      <c r="H192" s="4" t="s">
        <v>92</v>
      </c>
      <c r="I192" s="4"/>
      <c r="J192" s="4"/>
      <c r="K192" s="4">
        <v>222</v>
      </c>
      <c r="L192" s="4">
        <v>3</v>
      </c>
      <c r="M192" s="4">
        <v>3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/>
    </row>
    <row r="193" spans="1:23" x14ac:dyDescent="0.2">
      <c r="A193" s="4">
        <v>50</v>
      </c>
      <c r="B193" s="4">
        <v>0</v>
      </c>
      <c r="C193" s="4">
        <v>0</v>
      </c>
      <c r="D193" s="4">
        <v>1</v>
      </c>
      <c r="E193" s="4">
        <v>225</v>
      </c>
      <c r="F193" s="4">
        <f>ROUND(Source!AV188,O193)</f>
        <v>1636224.9</v>
      </c>
      <c r="G193" s="4" t="s">
        <v>93</v>
      </c>
      <c r="H193" s="4" t="s">
        <v>94</v>
      </c>
      <c r="I193" s="4"/>
      <c r="J193" s="4"/>
      <c r="K193" s="4">
        <v>225</v>
      </c>
      <c r="L193" s="4">
        <v>4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3" x14ac:dyDescent="0.2">
      <c r="A194" s="4">
        <v>50</v>
      </c>
      <c r="B194" s="4">
        <v>0</v>
      </c>
      <c r="C194" s="4">
        <v>0</v>
      </c>
      <c r="D194" s="4">
        <v>1</v>
      </c>
      <c r="E194" s="4">
        <v>226</v>
      </c>
      <c r="F194" s="4">
        <f>ROUND(Source!AW188,O194)</f>
        <v>1636224.9</v>
      </c>
      <c r="G194" s="4" t="s">
        <v>95</v>
      </c>
      <c r="H194" s="4" t="s">
        <v>96</v>
      </c>
      <c r="I194" s="4"/>
      <c r="J194" s="4"/>
      <c r="K194" s="4">
        <v>226</v>
      </c>
      <c r="L194" s="4">
        <v>5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5" spans="1:23" x14ac:dyDescent="0.2">
      <c r="A195" s="4">
        <v>50</v>
      </c>
      <c r="B195" s="4">
        <v>0</v>
      </c>
      <c r="C195" s="4">
        <v>0</v>
      </c>
      <c r="D195" s="4">
        <v>1</v>
      </c>
      <c r="E195" s="4">
        <v>227</v>
      </c>
      <c r="F195" s="4">
        <f>ROUND(Source!AX188,O195)</f>
        <v>0</v>
      </c>
      <c r="G195" s="4" t="s">
        <v>97</v>
      </c>
      <c r="H195" s="4" t="s">
        <v>98</v>
      </c>
      <c r="I195" s="4"/>
      <c r="J195" s="4"/>
      <c r="K195" s="4">
        <v>227</v>
      </c>
      <c r="L195" s="4">
        <v>6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/>
    </row>
    <row r="196" spans="1:23" x14ac:dyDescent="0.2">
      <c r="A196" s="4">
        <v>50</v>
      </c>
      <c r="B196" s="4">
        <v>0</v>
      </c>
      <c r="C196" s="4">
        <v>0</v>
      </c>
      <c r="D196" s="4">
        <v>1</v>
      </c>
      <c r="E196" s="4">
        <v>228</v>
      </c>
      <c r="F196" s="4">
        <f>ROUND(Source!AY188,O196)</f>
        <v>1636224.9</v>
      </c>
      <c r="G196" s="4" t="s">
        <v>99</v>
      </c>
      <c r="H196" s="4" t="s">
        <v>100</v>
      </c>
      <c r="I196" s="4"/>
      <c r="J196" s="4"/>
      <c r="K196" s="4">
        <v>228</v>
      </c>
      <c r="L196" s="4">
        <v>7</v>
      </c>
      <c r="M196" s="4">
        <v>3</v>
      </c>
      <c r="N196" s="4" t="s">
        <v>3</v>
      </c>
      <c r="O196" s="4">
        <v>2</v>
      </c>
      <c r="P196" s="4"/>
      <c r="Q196" s="4"/>
      <c r="R196" s="4"/>
      <c r="S196" s="4"/>
      <c r="T196" s="4"/>
      <c r="U196" s="4"/>
      <c r="V196" s="4"/>
      <c r="W196" s="4"/>
    </row>
    <row r="197" spans="1:23" x14ac:dyDescent="0.2">
      <c r="A197" s="4">
        <v>50</v>
      </c>
      <c r="B197" s="4">
        <v>0</v>
      </c>
      <c r="C197" s="4">
        <v>0</v>
      </c>
      <c r="D197" s="4">
        <v>1</v>
      </c>
      <c r="E197" s="4">
        <v>216</v>
      </c>
      <c r="F197" s="4">
        <f>ROUND(Source!AP188,O197)</f>
        <v>0</v>
      </c>
      <c r="G197" s="4" t="s">
        <v>101</v>
      </c>
      <c r="H197" s="4" t="s">
        <v>102</v>
      </c>
      <c r="I197" s="4"/>
      <c r="J197" s="4"/>
      <c r="K197" s="4">
        <v>216</v>
      </c>
      <c r="L197" s="4">
        <v>8</v>
      </c>
      <c r="M197" s="4">
        <v>3</v>
      </c>
      <c r="N197" s="4" t="s">
        <v>3</v>
      </c>
      <c r="O197" s="4">
        <v>2</v>
      </c>
      <c r="P197" s="4"/>
      <c r="Q197" s="4"/>
      <c r="R197" s="4"/>
      <c r="S197" s="4"/>
      <c r="T197" s="4"/>
      <c r="U197" s="4"/>
      <c r="V197" s="4"/>
      <c r="W197" s="4"/>
    </row>
    <row r="198" spans="1:23" x14ac:dyDescent="0.2">
      <c r="A198" s="4">
        <v>50</v>
      </c>
      <c r="B198" s="4">
        <v>0</v>
      </c>
      <c r="C198" s="4">
        <v>0</v>
      </c>
      <c r="D198" s="4">
        <v>1</v>
      </c>
      <c r="E198" s="4">
        <v>223</v>
      </c>
      <c r="F198" s="4">
        <f>ROUND(Source!AQ188,O198)</f>
        <v>0</v>
      </c>
      <c r="G198" s="4" t="s">
        <v>103</v>
      </c>
      <c r="H198" s="4" t="s">
        <v>104</v>
      </c>
      <c r="I198" s="4"/>
      <c r="J198" s="4"/>
      <c r="K198" s="4">
        <v>223</v>
      </c>
      <c r="L198" s="4">
        <v>9</v>
      </c>
      <c r="M198" s="4">
        <v>3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/>
    </row>
    <row r="199" spans="1:23" x14ac:dyDescent="0.2">
      <c r="A199" s="4">
        <v>50</v>
      </c>
      <c r="B199" s="4">
        <v>0</v>
      </c>
      <c r="C199" s="4">
        <v>0</v>
      </c>
      <c r="D199" s="4">
        <v>1</v>
      </c>
      <c r="E199" s="4">
        <v>229</v>
      </c>
      <c r="F199" s="4">
        <f>ROUND(Source!AZ188,O199)</f>
        <v>0</v>
      </c>
      <c r="G199" s="4" t="s">
        <v>105</v>
      </c>
      <c r="H199" s="4" t="s">
        <v>106</v>
      </c>
      <c r="I199" s="4"/>
      <c r="J199" s="4"/>
      <c r="K199" s="4">
        <v>229</v>
      </c>
      <c r="L199" s="4">
        <v>10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/>
    </row>
    <row r="200" spans="1:23" x14ac:dyDescent="0.2">
      <c r="A200" s="4">
        <v>50</v>
      </c>
      <c r="B200" s="4">
        <v>0</v>
      </c>
      <c r="C200" s="4">
        <v>0</v>
      </c>
      <c r="D200" s="4">
        <v>1</v>
      </c>
      <c r="E200" s="4">
        <v>203</v>
      </c>
      <c r="F200" s="4">
        <f>ROUND(Source!Q188,O200)</f>
        <v>24131.22</v>
      </c>
      <c r="G200" s="4" t="s">
        <v>107</v>
      </c>
      <c r="H200" s="4" t="s">
        <v>108</v>
      </c>
      <c r="I200" s="4"/>
      <c r="J200" s="4"/>
      <c r="K200" s="4">
        <v>203</v>
      </c>
      <c r="L200" s="4">
        <v>11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/>
    </row>
    <row r="201" spans="1:23" x14ac:dyDescent="0.2">
      <c r="A201" s="4">
        <v>50</v>
      </c>
      <c r="B201" s="4">
        <v>0</v>
      </c>
      <c r="C201" s="4">
        <v>0</v>
      </c>
      <c r="D201" s="4">
        <v>1</v>
      </c>
      <c r="E201" s="4">
        <v>231</v>
      </c>
      <c r="F201" s="4">
        <f>ROUND(Source!BB188,O201)</f>
        <v>0</v>
      </c>
      <c r="G201" s="4" t="s">
        <v>109</v>
      </c>
      <c r="H201" s="4" t="s">
        <v>110</v>
      </c>
      <c r="I201" s="4"/>
      <c r="J201" s="4"/>
      <c r="K201" s="4">
        <v>231</v>
      </c>
      <c r="L201" s="4">
        <v>12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3" x14ac:dyDescent="0.2">
      <c r="A202" s="4">
        <v>50</v>
      </c>
      <c r="B202" s="4">
        <v>0</v>
      </c>
      <c r="C202" s="4">
        <v>0</v>
      </c>
      <c r="D202" s="4">
        <v>1</v>
      </c>
      <c r="E202" s="4">
        <v>204</v>
      </c>
      <c r="F202" s="4">
        <f>ROUND(Source!R188,O202)</f>
        <v>12478.27</v>
      </c>
      <c r="G202" s="4" t="s">
        <v>111</v>
      </c>
      <c r="H202" s="4" t="s">
        <v>112</v>
      </c>
      <c r="I202" s="4"/>
      <c r="J202" s="4"/>
      <c r="K202" s="4">
        <v>204</v>
      </c>
      <c r="L202" s="4">
        <v>13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3" x14ac:dyDescent="0.2">
      <c r="A203" s="4">
        <v>50</v>
      </c>
      <c r="B203" s="4">
        <v>0</v>
      </c>
      <c r="C203" s="4">
        <v>0</v>
      </c>
      <c r="D203" s="4">
        <v>1</v>
      </c>
      <c r="E203" s="4">
        <v>205</v>
      </c>
      <c r="F203" s="4">
        <f>ROUND(Source!S188,O203)</f>
        <v>210003.47</v>
      </c>
      <c r="G203" s="4" t="s">
        <v>113</v>
      </c>
      <c r="H203" s="4" t="s">
        <v>114</v>
      </c>
      <c r="I203" s="4"/>
      <c r="J203" s="4"/>
      <c r="K203" s="4">
        <v>205</v>
      </c>
      <c r="L203" s="4">
        <v>14</v>
      </c>
      <c r="M203" s="4">
        <v>3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3" x14ac:dyDescent="0.2">
      <c r="A204" s="4">
        <v>50</v>
      </c>
      <c r="B204" s="4">
        <v>0</v>
      </c>
      <c r="C204" s="4">
        <v>0</v>
      </c>
      <c r="D204" s="4">
        <v>1</v>
      </c>
      <c r="E204" s="4">
        <v>232</v>
      </c>
      <c r="F204" s="4">
        <f>ROUND(Source!BC188,O204)</f>
        <v>0</v>
      </c>
      <c r="G204" s="4" t="s">
        <v>115</v>
      </c>
      <c r="H204" s="4" t="s">
        <v>116</v>
      </c>
      <c r="I204" s="4"/>
      <c r="J204" s="4"/>
      <c r="K204" s="4">
        <v>232</v>
      </c>
      <c r="L204" s="4">
        <v>15</v>
      </c>
      <c r="M204" s="4">
        <v>3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3" x14ac:dyDescent="0.2">
      <c r="A205" s="4">
        <v>50</v>
      </c>
      <c r="B205" s="4">
        <v>0</v>
      </c>
      <c r="C205" s="4">
        <v>0</v>
      </c>
      <c r="D205" s="4">
        <v>1</v>
      </c>
      <c r="E205" s="4">
        <v>214</v>
      </c>
      <c r="F205" s="4">
        <f>ROUND(Source!AS188,O205)</f>
        <v>0</v>
      </c>
      <c r="G205" s="4" t="s">
        <v>117</v>
      </c>
      <c r="H205" s="4" t="s">
        <v>118</v>
      </c>
      <c r="I205" s="4"/>
      <c r="J205" s="4"/>
      <c r="K205" s="4">
        <v>214</v>
      </c>
      <c r="L205" s="4">
        <v>16</v>
      </c>
      <c r="M205" s="4">
        <v>3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6" spans="1:23" x14ac:dyDescent="0.2">
      <c r="A206" s="4">
        <v>50</v>
      </c>
      <c r="B206" s="4">
        <v>0</v>
      </c>
      <c r="C206" s="4">
        <v>0</v>
      </c>
      <c r="D206" s="4">
        <v>1</v>
      </c>
      <c r="E206" s="4">
        <v>215</v>
      </c>
      <c r="F206" s="4">
        <f>ROUND(Source!AT188,O206)</f>
        <v>278271.93</v>
      </c>
      <c r="G206" s="4" t="s">
        <v>119</v>
      </c>
      <c r="H206" s="4" t="s">
        <v>120</v>
      </c>
      <c r="I206" s="4"/>
      <c r="J206" s="4"/>
      <c r="K206" s="4">
        <v>215</v>
      </c>
      <c r="L206" s="4">
        <v>17</v>
      </c>
      <c r="M206" s="4">
        <v>3</v>
      </c>
      <c r="N206" s="4" t="s">
        <v>3</v>
      </c>
      <c r="O206" s="4">
        <v>2</v>
      </c>
      <c r="P206" s="4"/>
      <c r="Q206" s="4"/>
      <c r="R206" s="4"/>
      <c r="S206" s="4"/>
      <c r="T206" s="4"/>
      <c r="U206" s="4"/>
      <c r="V206" s="4"/>
      <c r="W206" s="4"/>
    </row>
    <row r="207" spans="1:23" x14ac:dyDescent="0.2">
      <c r="A207" s="4">
        <v>50</v>
      </c>
      <c r="B207" s="4">
        <v>0</v>
      </c>
      <c r="C207" s="4">
        <v>0</v>
      </c>
      <c r="D207" s="4">
        <v>1</v>
      </c>
      <c r="E207" s="4">
        <v>217</v>
      </c>
      <c r="F207" s="4">
        <f>ROUND(Source!AU188,O207)</f>
        <v>1847259.45</v>
      </c>
      <c r="G207" s="4" t="s">
        <v>121</v>
      </c>
      <c r="H207" s="4" t="s">
        <v>122</v>
      </c>
      <c r="I207" s="4"/>
      <c r="J207" s="4"/>
      <c r="K207" s="4">
        <v>217</v>
      </c>
      <c r="L207" s="4">
        <v>18</v>
      </c>
      <c r="M207" s="4">
        <v>3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/>
    </row>
    <row r="208" spans="1:23" x14ac:dyDescent="0.2">
      <c r="A208" s="4">
        <v>50</v>
      </c>
      <c r="B208" s="4">
        <v>0</v>
      </c>
      <c r="C208" s="4">
        <v>0</v>
      </c>
      <c r="D208" s="4">
        <v>1</v>
      </c>
      <c r="E208" s="4">
        <v>230</v>
      </c>
      <c r="F208" s="4">
        <f>ROUND(Source!BA188,O208)</f>
        <v>0</v>
      </c>
      <c r="G208" s="4" t="s">
        <v>123</v>
      </c>
      <c r="H208" s="4" t="s">
        <v>124</v>
      </c>
      <c r="I208" s="4"/>
      <c r="J208" s="4"/>
      <c r="K208" s="4">
        <v>230</v>
      </c>
      <c r="L208" s="4">
        <v>19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/>
    </row>
    <row r="209" spans="1:23" x14ac:dyDescent="0.2">
      <c r="A209" s="4">
        <v>50</v>
      </c>
      <c r="B209" s="4">
        <v>0</v>
      </c>
      <c r="C209" s="4">
        <v>0</v>
      </c>
      <c r="D209" s="4">
        <v>1</v>
      </c>
      <c r="E209" s="4">
        <v>206</v>
      </c>
      <c r="F209" s="4">
        <f>ROUND(Source!T188,O209)</f>
        <v>0</v>
      </c>
      <c r="G209" s="4" t="s">
        <v>125</v>
      </c>
      <c r="H209" s="4" t="s">
        <v>126</v>
      </c>
      <c r="I209" s="4"/>
      <c r="J209" s="4"/>
      <c r="K209" s="4">
        <v>206</v>
      </c>
      <c r="L209" s="4">
        <v>20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/>
    </row>
    <row r="210" spans="1:23" x14ac:dyDescent="0.2">
      <c r="A210" s="4">
        <v>50</v>
      </c>
      <c r="B210" s="4">
        <v>0</v>
      </c>
      <c r="C210" s="4">
        <v>0</v>
      </c>
      <c r="D210" s="4">
        <v>1</v>
      </c>
      <c r="E210" s="4">
        <v>207</v>
      </c>
      <c r="F210" s="4">
        <f>Source!U188</f>
        <v>583.1215643999999</v>
      </c>
      <c r="G210" s="4" t="s">
        <v>127</v>
      </c>
      <c r="H210" s="4" t="s">
        <v>128</v>
      </c>
      <c r="I210" s="4"/>
      <c r="J210" s="4"/>
      <c r="K210" s="4">
        <v>207</v>
      </c>
      <c r="L210" s="4">
        <v>21</v>
      </c>
      <c r="M210" s="4">
        <v>3</v>
      </c>
      <c r="N210" s="4" t="s">
        <v>3</v>
      </c>
      <c r="O210" s="4">
        <v>-1</v>
      </c>
      <c r="P210" s="4"/>
      <c r="Q210" s="4"/>
      <c r="R210" s="4"/>
      <c r="S210" s="4"/>
      <c r="T210" s="4"/>
      <c r="U210" s="4"/>
      <c r="V210" s="4"/>
      <c r="W210" s="4"/>
    </row>
    <row r="211" spans="1:23" x14ac:dyDescent="0.2">
      <c r="A211" s="4">
        <v>50</v>
      </c>
      <c r="B211" s="4">
        <v>0</v>
      </c>
      <c r="C211" s="4">
        <v>0</v>
      </c>
      <c r="D211" s="4">
        <v>1</v>
      </c>
      <c r="E211" s="4">
        <v>208</v>
      </c>
      <c r="F211" s="4">
        <f>Source!V188</f>
        <v>0</v>
      </c>
      <c r="G211" s="4" t="s">
        <v>129</v>
      </c>
      <c r="H211" s="4" t="s">
        <v>130</v>
      </c>
      <c r="I211" s="4"/>
      <c r="J211" s="4"/>
      <c r="K211" s="4">
        <v>208</v>
      </c>
      <c r="L211" s="4">
        <v>22</v>
      </c>
      <c r="M211" s="4">
        <v>3</v>
      </c>
      <c r="N211" s="4" t="s">
        <v>3</v>
      </c>
      <c r="O211" s="4">
        <v>-1</v>
      </c>
      <c r="P211" s="4"/>
      <c r="Q211" s="4"/>
      <c r="R211" s="4"/>
      <c r="S211" s="4"/>
      <c r="T211" s="4"/>
      <c r="U211" s="4"/>
      <c r="V211" s="4"/>
      <c r="W211" s="4"/>
    </row>
    <row r="212" spans="1:23" x14ac:dyDescent="0.2">
      <c r="A212" s="4">
        <v>50</v>
      </c>
      <c r="B212" s="4">
        <v>0</v>
      </c>
      <c r="C212" s="4">
        <v>0</v>
      </c>
      <c r="D212" s="4">
        <v>1</v>
      </c>
      <c r="E212" s="4">
        <v>209</v>
      </c>
      <c r="F212" s="4">
        <f>ROUND(Source!W188,O212)</f>
        <v>0</v>
      </c>
      <c r="G212" s="4" t="s">
        <v>131</v>
      </c>
      <c r="H212" s="4" t="s">
        <v>132</v>
      </c>
      <c r="I212" s="4"/>
      <c r="J212" s="4"/>
      <c r="K212" s="4">
        <v>209</v>
      </c>
      <c r="L212" s="4">
        <v>23</v>
      </c>
      <c r="M212" s="4">
        <v>3</v>
      </c>
      <c r="N212" s="4" t="s">
        <v>3</v>
      </c>
      <c r="O212" s="4">
        <v>2</v>
      </c>
      <c r="P212" s="4"/>
      <c r="Q212" s="4"/>
      <c r="R212" s="4"/>
      <c r="S212" s="4"/>
      <c r="T212" s="4"/>
      <c r="U212" s="4"/>
      <c r="V212" s="4"/>
      <c r="W212" s="4"/>
    </row>
    <row r="213" spans="1:23" x14ac:dyDescent="0.2">
      <c r="A213" s="4">
        <v>50</v>
      </c>
      <c r="B213" s="4">
        <v>0</v>
      </c>
      <c r="C213" s="4">
        <v>0</v>
      </c>
      <c r="D213" s="4">
        <v>1</v>
      </c>
      <c r="E213" s="4">
        <v>233</v>
      </c>
      <c r="F213" s="4">
        <f>ROUND(Source!BD188,O213)</f>
        <v>0</v>
      </c>
      <c r="G213" s="4" t="s">
        <v>133</v>
      </c>
      <c r="H213" s="4" t="s">
        <v>134</v>
      </c>
      <c r="I213" s="4"/>
      <c r="J213" s="4"/>
      <c r="K213" s="4">
        <v>233</v>
      </c>
      <c r="L213" s="4">
        <v>24</v>
      </c>
      <c r="M213" s="4">
        <v>3</v>
      </c>
      <c r="N213" s="4" t="s">
        <v>3</v>
      </c>
      <c r="O213" s="4">
        <v>2</v>
      </c>
      <c r="P213" s="4"/>
      <c r="Q213" s="4"/>
      <c r="R213" s="4"/>
      <c r="S213" s="4"/>
      <c r="T213" s="4"/>
      <c r="U213" s="4"/>
      <c r="V213" s="4"/>
      <c r="W213" s="4"/>
    </row>
    <row r="214" spans="1:23" x14ac:dyDescent="0.2">
      <c r="A214" s="4">
        <v>50</v>
      </c>
      <c r="B214" s="4">
        <v>0</v>
      </c>
      <c r="C214" s="4">
        <v>0</v>
      </c>
      <c r="D214" s="4">
        <v>1</v>
      </c>
      <c r="E214" s="4">
        <v>210</v>
      </c>
      <c r="F214" s="4">
        <f>ROUND(Source!X188,O214)</f>
        <v>149479.47</v>
      </c>
      <c r="G214" s="4" t="s">
        <v>135</v>
      </c>
      <c r="H214" s="4" t="s">
        <v>136</v>
      </c>
      <c r="I214" s="4"/>
      <c r="J214" s="4"/>
      <c r="K214" s="4">
        <v>210</v>
      </c>
      <c r="L214" s="4">
        <v>25</v>
      </c>
      <c r="M214" s="4">
        <v>3</v>
      </c>
      <c r="N214" s="4" t="s">
        <v>3</v>
      </c>
      <c r="O214" s="4">
        <v>2</v>
      </c>
      <c r="P214" s="4"/>
      <c r="Q214" s="4"/>
      <c r="R214" s="4"/>
      <c r="S214" s="4"/>
      <c r="T214" s="4"/>
      <c r="U214" s="4"/>
      <c r="V214" s="4"/>
      <c r="W214" s="4"/>
    </row>
    <row r="215" spans="1:23" x14ac:dyDescent="0.2">
      <c r="A215" s="4">
        <v>50</v>
      </c>
      <c r="B215" s="4">
        <v>0</v>
      </c>
      <c r="C215" s="4">
        <v>0</v>
      </c>
      <c r="D215" s="4">
        <v>1</v>
      </c>
      <c r="E215" s="4">
        <v>211</v>
      </c>
      <c r="F215" s="4">
        <f>ROUND(Source!Y188,O215)</f>
        <v>86101.440000000002</v>
      </c>
      <c r="G215" s="4" t="s">
        <v>137</v>
      </c>
      <c r="H215" s="4" t="s">
        <v>138</v>
      </c>
      <c r="I215" s="4"/>
      <c r="J215" s="4"/>
      <c r="K215" s="4">
        <v>211</v>
      </c>
      <c r="L215" s="4">
        <v>26</v>
      </c>
      <c r="M215" s="4">
        <v>3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/>
    </row>
    <row r="216" spans="1:23" x14ac:dyDescent="0.2">
      <c r="A216" s="4">
        <v>50</v>
      </c>
      <c r="B216" s="4">
        <v>0</v>
      </c>
      <c r="C216" s="4">
        <v>0</v>
      </c>
      <c r="D216" s="4">
        <v>1</v>
      </c>
      <c r="E216" s="4">
        <v>224</v>
      </c>
      <c r="F216" s="4">
        <f>ROUND(Source!AR188,O216)</f>
        <v>2125531.38</v>
      </c>
      <c r="G216" s="4" t="s">
        <v>139</v>
      </c>
      <c r="H216" s="4" t="s">
        <v>140</v>
      </c>
      <c r="I216" s="4"/>
      <c r="J216" s="4"/>
      <c r="K216" s="4">
        <v>224</v>
      </c>
      <c r="L216" s="4">
        <v>27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/>
    </row>
    <row r="217" spans="1:23" x14ac:dyDescent="0.2">
      <c r="A217" s="4">
        <v>50</v>
      </c>
      <c r="B217" s="4">
        <v>1</v>
      </c>
      <c r="C217" s="4">
        <v>0</v>
      </c>
      <c r="D217" s="4">
        <v>2</v>
      </c>
      <c r="E217" s="4">
        <v>0</v>
      </c>
      <c r="F217" s="4">
        <f>ROUND(F216,O217)</f>
        <v>2125531.38</v>
      </c>
      <c r="G217" s="4" t="s">
        <v>228</v>
      </c>
      <c r="H217" s="4" t="s">
        <v>228</v>
      </c>
      <c r="I217" s="4"/>
      <c r="J217" s="4"/>
      <c r="K217" s="4">
        <v>212</v>
      </c>
      <c r="L217" s="4">
        <v>28</v>
      </c>
      <c r="M217" s="4">
        <v>0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/>
    </row>
    <row r="218" spans="1:23" x14ac:dyDescent="0.2">
      <c r="A218" s="4">
        <v>50</v>
      </c>
      <c r="B218" s="4">
        <v>1</v>
      </c>
      <c r="C218" s="4">
        <v>0</v>
      </c>
      <c r="D218" s="4">
        <v>2</v>
      </c>
      <c r="E218" s="4">
        <v>0</v>
      </c>
      <c r="F218" s="4">
        <f>ROUND(F217*0.2,O218)</f>
        <v>425106.28</v>
      </c>
      <c r="G218" s="4" t="s">
        <v>229</v>
      </c>
      <c r="H218" s="4" t="s">
        <v>230</v>
      </c>
      <c r="I218" s="4"/>
      <c r="J218" s="4"/>
      <c r="K218" s="4">
        <v>212</v>
      </c>
      <c r="L218" s="4">
        <v>29</v>
      </c>
      <c r="M218" s="4">
        <v>0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/>
    </row>
    <row r="219" spans="1:23" x14ac:dyDescent="0.2">
      <c r="A219" s="4">
        <v>50</v>
      </c>
      <c r="B219" s="4">
        <v>1</v>
      </c>
      <c r="C219" s="4">
        <v>0</v>
      </c>
      <c r="D219" s="4">
        <v>2</v>
      </c>
      <c r="E219" s="4">
        <v>213</v>
      </c>
      <c r="F219" s="4">
        <f>ROUND(ROUND(F217+F218,2),O219)</f>
        <v>2550637.66</v>
      </c>
      <c r="G219" s="4" t="s">
        <v>231</v>
      </c>
      <c r="H219" s="4" t="s">
        <v>231</v>
      </c>
      <c r="I219" s="4"/>
      <c r="J219" s="4"/>
      <c r="K219" s="4">
        <v>212</v>
      </c>
      <c r="L219" s="4">
        <v>30</v>
      </c>
      <c r="M219" s="4">
        <v>0</v>
      </c>
      <c r="N219" s="4" t="s">
        <v>3</v>
      </c>
      <c r="O219" s="4">
        <v>2</v>
      </c>
      <c r="P219" s="4"/>
      <c r="Q219" s="4"/>
      <c r="R219" s="4"/>
      <c r="S219" s="4"/>
      <c r="T219" s="4"/>
      <c r="U219" s="4"/>
      <c r="V219" s="4"/>
      <c r="W219" s="4"/>
    </row>
    <row r="222" spans="1:23" x14ac:dyDescent="0.2">
      <c r="A222">
        <v>-1</v>
      </c>
    </row>
    <row r="224" spans="1:23" x14ac:dyDescent="0.2">
      <c r="A224" s="3">
        <v>75</v>
      </c>
      <c r="B224" s="3" t="s">
        <v>232</v>
      </c>
      <c r="C224" s="3">
        <v>2020</v>
      </c>
      <c r="D224" s="3">
        <v>0</v>
      </c>
      <c r="E224" s="3">
        <v>12</v>
      </c>
      <c r="F224" s="3"/>
      <c r="G224" s="3">
        <v>0</v>
      </c>
      <c r="H224" s="3">
        <v>2</v>
      </c>
      <c r="I224" s="3">
        <v>1</v>
      </c>
      <c r="J224" s="3">
        <v>1</v>
      </c>
      <c r="K224" s="3">
        <v>93</v>
      </c>
      <c r="L224" s="3">
        <v>64</v>
      </c>
      <c r="M224" s="3">
        <v>0</v>
      </c>
      <c r="N224" s="3">
        <v>23440596</v>
      </c>
      <c r="O224" s="3">
        <v>1</v>
      </c>
    </row>
    <row r="225" spans="1:40" x14ac:dyDescent="0.2">
      <c r="A225" s="5">
        <v>1</v>
      </c>
      <c r="B225" s="5" t="s">
        <v>233</v>
      </c>
      <c r="C225" s="5" t="s">
        <v>234</v>
      </c>
      <c r="D225" s="5">
        <v>2020</v>
      </c>
      <c r="E225" s="5">
        <v>12</v>
      </c>
      <c r="F225" s="5">
        <v>1</v>
      </c>
      <c r="G225" s="5">
        <v>1</v>
      </c>
      <c r="H225" s="5">
        <v>0</v>
      </c>
      <c r="I225" s="5">
        <v>2</v>
      </c>
      <c r="J225" s="5">
        <v>1</v>
      </c>
      <c r="K225" s="5">
        <v>1</v>
      </c>
      <c r="L225" s="5">
        <v>1</v>
      </c>
      <c r="M225" s="5">
        <v>1</v>
      </c>
      <c r="N225" s="5">
        <v>1</v>
      </c>
      <c r="O225" s="5">
        <v>1</v>
      </c>
      <c r="P225" s="5">
        <v>1</v>
      </c>
      <c r="Q225" s="5">
        <v>1</v>
      </c>
      <c r="R225" s="5" t="s">
        <v>3</v>
      </c>
      <c r="S225" s="5" t="s">
        <v>3</v>
      </c>
      <c r="T225" s="5" t="s">
        <v>3</v>
      </c>
      <c r="U225" s="5" t="s">
        <v>3</v>
      </c>
      <c r="V225" s="5" t="s">
        <v>3</v>
      </c>
      <c r="W225" s="5" t="s">
        <v>3</v>
      </c>
      <c r="X225" s="5" t="s">
        <v>3</v>
      </c>
      <c r="Y225" s="5" t="s">
        <v>3</v>
      </c>
      <c r="Z225" s="5" t="s">
        <v>3</v>
      </c>
      <c r="AA225" s="5" t="s">
        <v>235</v>
      </c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>
        <v>23440597</v>
      </c>
    </row>
    <row r="229" spans="1:40" x14ac:dyDescent="0.2">
      <c r="A229">
        <v>65</v>
      </c>
      <c r="C229">
        <v>1</v>
      </c>
      <c r="D229">
        <v>0</v>
      </c>
      <c r="E22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236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54</v>
      </c>
      <c r="C12" s="1">
        <v>0</v>
      </c>
      <c r="D12" s="1"/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23440596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19</v>
      </c>
      <c r="D16" s="6" t="s">
        <v>20</v>
      </c>
      <c r="E16" s="7">
        <f>(Source!F175)/1000</f>
        <v>0</v>
      </c>
      <c r="F16" s="7">
        <f>(Source!F176)/1000</f>
        <v>278.27193</v>
      </c>
      <c r="G16" s="7">
        <f>(Source!F167)/1000</f>
        <v>0</v>
      </c>
      <c r="H16" s="7">
        <f>(Source!F177)/1000+(Source!F178)/1000</f>
        <v>1847.25945</v>
      </c>
      <c r="I16" s="7">
        <f>E16+F16+G16+H16</f>
        <v>2125.5313799999999</v>
      </c>
      <c r="J16" s="7">
        <f>(Source!F173)/1000</f>
        <v>210.00346999999999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1870359.59</v>
      </c>
      <c r="AU16" s="7">
        <v>1636224.9</v>
      </c>
      <c r="AV16" s="7">
        <v>0</v>
      </c>
      <c r="AW16" s="7">
        <v>0</v>
      </c>
      <c r="AX16" s="7">
        <v>0</v>
      </c>
      <c r="AY16" s="7">
        <v>24131.22</v>
      </c>
      <c r="AZ16" s="7">
        <v>12478.27</v>
      </c>
      <c r="BA16" s="7">
        <v>210003.47</v>
      </c>
      <c r="BB16" s="7">
        <v>0</v>
      </c>
      <c r="BC16" s="7">
        <v>278271.93</v>
      </c>
      <c r="BD16" s="7">
        <v>1847259.45</v>
      </c>
      <c r="BE16" s="7">
        <v>0</v>
      </c>
      <c r="BF16" s="7">
        <v>583.1215643999999</v>
      </c>
      <c r="BG16" s="7">
        <v>0</v>
      </c>
      <c r="BH16" s="7">
        <v>0</v>
      </c>
      <c r="BI16" s="7">
        <v>149479.47</v>
      </c>
      <c r="BJ16" s="7">
        <v>86101.440000000002</v>
      </c>
      <c r="BK16" s="7">
        <v>2125531.38</v>
      </c>
    </row>
    <row r="18" spans="1:19" x14ac:dyDescent="0.2">
      <c r="A18">
        <v>51</v>
      </c>
      <c r="E18" s="8">
        <f>SUMIF(A16:A17,3,E16:E17)</f>
        <v>0</v>
      </c>
      <c r="F18" s="8">
        <f>SUMIF(A16:A17,3,F16:F17)</f>
        <v>278.27193</v>
      </c>
      <c r="G18" s="8">
        <f>SUMIF(A16:A17,3,G16:G17)</f>
        <v>0</v>
      </c>
      <c r="H18" s="8">
        <f>SUMIF(A16:A17,3,H16:H17)</f>
        <v>1847.25945</v>
      </c>
      <c r="I18" s="8">
        <f>SUMIF(A16:A17,3,I16:I17)</f>
        <v>2125.5313799999999</v>
      </c>
      <c r="J18" s="8">
        <f>SUMIF(A16:A17,3,J16:J17)</f>
        <v>210.00346999999999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1870359.59</v>
      </c>
      <c r="G20" s="4" t="s">
        <v>87</v>
      </c>
      <c r="H20" s="4" t="s">
        <v>88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1636224.9</v>
      </c>
      <c r="G21" s="4" t="s">
        <v>89</v>
      </c>
      <c r="H21" s="4" t="s">
        <v>90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91</v>
      </c>
      <c r="H22" s="4" t="s">
        <v>92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1636224.9</v>
      </c>
      <c r="G23" s="4" t="s">
        <v>93</v>
      </c>
      <c r="H23" s="4" t="s">
        <v>94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1636224.9</v>
      </c>
      <c r="G24" s="4" t="s">
        <v>95</v>
      </c>
      <c r="H24" s="4" t="s">
        <v>96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97</v>
      </c>
      <c r="H25" s="4" t="s">
        <v>98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1636224.9</v>
      </c>
      <c r="G26" s="4" t="s">
        <v>99</v>
      </c>
      <c r="H26" s="4" t="s">
        <v>100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101</v>
      </c>
      <c r="H27" s="4" t="s">
        <v>102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103</v>
      </c>
      <c r="H28" s="4" t="s">
        <v>104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105</v>
      </c>
      <c r="H29" s="4" t="s">
        <v>106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24131.22</v>
      </c>
      <c r="G30" s="4" t="s">
        <v>107</v>
      </c>
      <c r="H30" s="4" t="s">
        <v>108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109</v>
      </c>
      <c r="H31" s="4" t="s">
        <v>110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12478.27</v>
      </c>
      <c r="G32" s="4" t="s">
        <v>111</v>
      </c>
      <c r="H32" s="4" t="s">
        <v>112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210003.47</v>
      </c>
      <c r="G33" s="4" t="s">
        <v>113</v>
      </c>
      <c r="H33" s="4" t="s">
        <v>114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115</v>
      </c>
      <c r="H34" s="4" t="s">
        <v>116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0</v>
      </c>
      <c r="G35" s="4" t="s">
        <v>117</v>
      </c>
      <c r="H35" s="4" t="s">
        <v>118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278271.93</v>
      </c>
      <c r="G36" s="4" t="s">
        <v>119</v>
      </c>
      <c r="H36" s="4" t="s">
        <v>120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1847259.45</v>
      </c>
      <c r="G37" s="4" t="s">
        <v>121</v>
      </c>
      <c r="H37" s="4" t="s">
        <v>122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123</v>
      </c>
      <c r="H38" s="4" t="s">
        <v>124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125</v>
      </c>
      <c r="H39" s="4" t="s">
        <v>126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583.1215643999999</v>
      </c>
      <c r="G40" s="4" t="s">
        <v>127</v>
      </c>
      <c r="H40" s="4" t="s">
        <v>128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129</v>
      </c>
      <c r="H41" s="4" t="s">
        <v>130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131</v>
      </c>
      <c r="H42" s="4" t="s">
        <v>132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133</v>
      </c>
      <c r="H43" s="4" t="s">
        <v>134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149479.47</v>
      </c>
      <c r="G44" s="4" t="s">
        <v>135</v>
      </c>
      <c r="H44" s="4" t="s">
        <v>136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86101.440000000002</v>
      </c>
      <c r="G45" s="4" t="s">
        <v>137</v>
      </c>
      <c r="H45" s="4" t="s">
        <v>138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2125531.38</v>
      </c>
      <c r="G46" s="4" t="s">
        <v>139</v>
      </c>
      <c r="H46" s="4" t="s">
        <v>140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2125531.38</v>
      </c>
      <c r="G47" s="4" t="s">
        <v>228</v>
      </c>
      <c r="H47" s="4" t="s">
        <v>228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425106.28</v>
      </c>
      <c r="G48" s="4" t="s">
        <v>229</v>
      </c>
      <c r="H48" s="4" t="s">
        <v>230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40" x14ac:dyDescent="0.2">
      <c r="A49" s="4">
        <v>50</v>
      </c>
      <c r="B49" s="4">
        <v>1</v>
      </c>
      <c r="C49" s="4">
        <v>0</v>
      </c>
      <c r="D49" s="4">
        <v>2</v>
      </c>
      <c r="E49" s="4">
        <v>213</v>
      </c>
      <c r="F49" s="4">
        <v>2550637.66</v>
      </c>
      <c r="G49" s="4" t="s">
        <v>231</v>
      </c>
      <c r="H49" s="4" t="s">
        <v>231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1" spans="1:40" x14ac:dyDescent="0.2">
      <c r="A51">
        <v>-1</v>
      </c>
    </row>
    <row r="54" spans="1:40" x14ac:dyDescent="0.2">
      <c r="A54" s="3">
        <v>75</v>
      </c>
      <c r="B54" s="3" t="s">
        <v>232</v>
      </c>
      <c r="C54" s="3">
        <v>2020</v>
      </c>
      <c r="D54" s="3">
        <v>0</v>
      </c>
      <c r="E54" s="3">
        <v>12</v>
      </c>
      <c r="F54" s="3"/>
      <c r="G54" s="3">
        <v>0</v>
      </c>
      <c r="H54" s="3">
        <v>2</v>
      </c>
      <c r="I54" s="3">
        <v>1</v>
      </c>
      <c r="J54" s="3">
        <v>1</v>
      </c>
      <c r="K54" s="3">
        <v>93</v>
      </c>
      <c r="L54" s="3">
        <v>64</v>
      </c>
      <c r="M54" s="3">
        <v>0</v>
      </c>
      <c r="N54" s="3">
        <v>23440596</v>
      </c>
      <c r="O54" s="3">
        <v>1</v>
      </c>
    </row>
    <row r="55" spans="1:40" x14ac:dyDescent="0.2">
      <c r="A55" s="5">
        <v>1</v>
      </c>
      <c r="B55" s="5" t="s">
        <v>233</v>
      </c>
      <c r="C55" s="5" t="s">
        <v>234</v>
      </c>
      <c r="D55" s="5">
        <v>2020</v>
      </c>
      <c r="E55" s="5">
        <v>12</v>
      </c>
      <c r="F55" s="5">
        <v>1</v>
      </c>
      <c r="G55" s="5">
        <v>1</v>
      </c>
      <c r="H55" s="5">
        <v>0</v>
      </c>
      <c r="I55" s="5">
        <v>2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 t="s">
        <v>3</v>
      </c>
      <c r="S55" s="5" t="s">
        <v>3</v>
      </c>
      <c r="T55" s="5" t="s">
        <v>3</v>
      </c>
      <c r="U55" s="5" t="s">
        <v>3</v>
      </c>
      <c r="V55" s="5" t="s">
        <v>3</v>
      </c>
      <c r="W55" s="5" t="s">
        <v>3</v>
      </c>
      <c r="X55" s="5" t="s">
        <v>3</v>
      </c>
      <c r="Y55" s="5" t="s">
        <v>3</v>
      </c>
      <c r="Z55" s="5" t="s">
        <v>3</v>
      </c>
      <c r="AA55" s="5" t="s">
        <v>235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>
        <v>23440597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ROW(Source!A38)</f>
        <v>38</v>
      </c>
      <c r="B1">
        <v>23440596</v>
      </c>
      <c r="C1">
        <v>23645313</v>
      </c>
      <c r="D1">
        <v>16804829</v>
      </c>
      <c r="E1">
        <v>16804826</v>
      </c>
      <c r="F1">
        <v>1</v>
      </c>
      <c r="G1">
        <v>16804826</v>
      </c>
      <c r="H1">
        <v>1</v>
      </c>
      <c r="I1" t="s">
        <v>237</v>
      </c>
      <c r="J1" t="s">
        <v>3</v>
      </c>
      <c r="K1" t="s">
        <v>238</v>
      </c>
      <c r="L1">
        <v>1191</v>
      </c>
      <c r="N1">
        <v>1013</v>
      </c>
      <c r="O1" t="s">
        <v>239</v>
      </c>
      <c r="P1" t="s">
        <v>239</v>
      </c>
      <c r="Q1">
        <v>1</v>
      </c>
      <c r="W1">
        <v>0</v>
      </c>
      <c r="X1">
        <v>946207192</v>
      </c>
      <c r="Y1">
        <v>3.0119999999999996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2.5099999999999998</v>
      </c>
      <c r="AU1" t="s">
        <v>28</v>
      </c>
      <c r="AV1">
        <v>1</v>
      </c>
      <c r="AW1">
        <v>2</v>
      </c>
      <c r="AX1">
        <v>23645314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Y1*Source!I38</f>
        <v>51.203999999999994</v>
      </c>
      <c r="CY1">
        <f>AD1</f>
        <v>0</v>
      </c>
      <c r="CZ1">
        <f>AH1</f>
        <v>0</v>
      </c>
      <c r="DA1">
        <f>AL1</f>
        <v>1</v>
      </c>
      <c r="DB1">
        <f>ROUND((ROUND(AT1*CZ1,2)*1.2),6)</f>
        <v>0</v>
      </c>
      <c r="DC1">
        <f>ROUND((ROUND(AT1*AG1,2)*1.2),6)</f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ROW(Source!A38)</f>
        <v>38</v>
      </c>
      <c r="B1">
        <v>23645314</v>
      </c>
      <c r="C1">
        <v>23645313</v>
      </c>
      <c r="D1">
        <v>16804829</v>
      </c>
      <c r="E1">
        <v>16804826</v>
      </c>
      <c r="F1">
        <v>1</v>
      </c>
      <c r="G1">
        <v>16804826</v>
      </c>
      <c r="H1">
        <v>1</v>
      </c>
      <c r="I1" t="s">
        <v>237</v>
      </c>
      <c r="J1" t="s">
        <v>3</v>
      </c>
      <c r="K1" t="s">
        <v>238</v>
      </c>
      <c r="L1">
        <v>1191</v>
      </c>
      <c r="N1">
        <v>1013</v>
      </c>
      <c r="O1" t="s">
        <v>239</v>
      </c>
      <c r="P1" t="s">
        <v>239</v>
      </c>
      <c r="Q1">
        <v>1</v>
      </c>
      <c r="X1">
        <v>2.5099999999999998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28</v>
      </c>
      <c r="AG1">
        <v>3.0119999999999996</v>
      </c>
      <c r="AH1">
        <v>2</v>
      </c>
      <c r="AI1">
        <v>23645314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по ТСН-2001</vt:lpstr>
      <vt:lpstr>Акт КС-2 по ТСН-2001</vt:lpstr>
      <vt:lpstr>Макет форма-3</vt:lpstr>
      <vt:lpstr>Source</vt:lpstr>
      <vt:lpstr>SourceObSm</vt:lpstr>
      <vt:lpstr>SmtRes</vt:lpstr>
      <vt:lpstr>EtalonRes</vt:lpstr>
      <vt:lpstr>'Акт КС-2 по ТСН-2001'!Заголовки_для_печати</vt:lpstr>
      <vt:lpstr>'Смета по ТСН-2001'!Заголовки_для_печати</vt:lpstr>
      <vt:lpstr>'Акт КС-2 по ТСН-2001'!Область_печати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2021-06-01T07:30:32Z</dcterms:created>
  <dcterms:modified xsi:type="dcterms:W3CDTF">2021-06-01T07:34:11Z</dcterms:modified>
</cp:coreProperties>
</file>